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9000" activeTab="0"/>
  </bookViews>
  <sheets>
    <sheet name="自動計算" sheetId="1" r:id="rId1"/>
    <sheet name="自動計算(建物)" sheetId="2" r:id="rId2"/>
    <sheet name="自動計算 (構築物)" sheetId="3" r:id="rId3"/>
    <sheet name="手書用" sheetId="4" r:id="rId4"/>
  </sheets>
  <definedNames>
    <definedName name="_xlnm.Print_Area" localSheetId="0">'自動計算'!$A$1:$AA$24</definedName>
    <definedName name="_xlnm.Print_Area" localSheetId="2">'自動計算 (構築物)'!$A$1:$AA$29</definedName>
    <definedName name="_xlnm.Print_Area" localSheetId="1">'自動計算(建物)'!$A$1:$V$29</definedName>
    <definedName name="_xlnm.Print_Area" localSheetId="3">'手書用'!$A$1:$Q$23</definedName>
  </definedNames>
  <calcPr fullCalcOnLoad="1"/>
</workbook>
</file>

<file path=xl/comments1.xml><?xml version="1.0" encoding="utf-8"?>
<comments xmlns="http://schemas.openxmlformats.org/spreadsheetml/2006/main">
  <authors>
    <author>U4302</author>
    <author>101449</author>
  </authors>
  <commentList>
    <comment ref="AA8" authorId="0">
      <text>
        <r>
          <rPr>
            <sz val="11"/>
            <rFont val="ＭＳ Ｐゴシック"/>
            <family val="3"/>
          </rPr>
          <t>平成１９年４月１日以降に取得したものは耐用年数経過時点において１円まで償却することとされました。</t>
        </r>
      </text>
    </comment>
    <comment ref="H8" authorId="0">
      <text>
        <r>
          <rPr>
            <sz val="11"/>
            <rFont val="ＭＳ Ｐゴシック"/>
            <family val="3"/>
          </rPr>
          <t>取得価額は消費税込みの金額。下取りがある場合は下取り前の金額。</t>
        </r>
      </text>
    </comment>
    <comment ref="I8" authorId="0">
      <text>
        <r>
          <rPr>
            <sz val="11"/>
            <rFont val="ＭＳ Ｐゴシック"/>
            <family val="3"/>
          </rPr>
          <t>取得価額の９０％の金額。
（残存価額１０％を引きます。）
※平成１９年４月１日以降に取得した場合は、取得価額と同額になります。(H19税制改正)</t>
        </r>
      </text>
    </comment>
    <comment ref="M8" authorId="0">
      <text>
        <r>
          <rPr>
            <sz val="11"/>
            <rFont val="ＭＳ Ｐゴシック"/>
            <family val="3"/>
          </rPr>
          <t>主な資産の耐用年数と償却率
H21年分からは農業用機械の耐用年数が一律７年（新0.143旧0.142）になります。(H20税制改正)
軽トラック　　　　 4年（0.250）
普通トラック　　　5年（0.200）
旧耐用年数（H20年まで）
耕うん機　　　　　5年（0.200）
乗用トラクター　　8年（0.125）
〃アタッチメント　5年（0.200）
田植機　　　　　　5年（0.200）
コンバイン　　　　5年（0.200）
バインダー　　　 5年（0.200）
脱穀機　　　　　　8年（0.125）
もみすり機　　　　8年（0.125）
乾燥機　　　　　　8年（0.125）
精米機　　　　　10年（0.100）
中古の場合は別途計算方法があります。</t>
        </r>
      </text>
    </comment>
    <comment ref="O8" authorId="0">
      <text>
        <r>
          <rPr>
            <sz val="11"/>
            <rFont val="ＭＳ Ｐゴシック"/>
            <family val="3"/>
          </rPr>
          <t>購入した年は月割計算になります。
例：４月に購入
　　　　↓
償却期間　９／１２
譲渡又は除却した年も月割計算をします。</t>
        </r>
      </text>
    </comment>
    <comment ref="Q25" authorId="0">
      <text>
        <r>
          <rPr>
            <sz val="11"/>
            <rFont val="ＭＳ Ｐゴシック"/>
            <family val="3"/>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 ref="Z8" authorId="0">
      <text>
        <r>
          <rPr>
            <sz val="11"/>
            <rFont val="ＭＳ Ｐゴシック"/>
            <family val="3"/>
          </rPr>
          <t>１年目の行は㋑の金額から㋭の金額を差し引いた金額。
２年目以降の行は前年の未償却残高から㋭の金額を差し引いた金額。（㋑取得価額－償却費累計）</t>
        </r>
      </text>
    </comment>
    <comment ref="AD23" authorId="1">
      <text>
        <r>
          <rPr>
            <sz val="11"/>
            <rFont val="MS P ゴシック"/>
            <family val="3"/>
          </rPr>
          <t>上記にない場合はこちらに手入力してください。</t>
        </r>
      </text>
    </comment>
  </commentList>
</comments>
</file>

<file path=xl/comments2.xml><?xml version="1.0" encoding="utf-8"?>
<comments xmlns="http://schemas.openxmlformats.org/spreadsheetml/2006/main">
  <authors>
    <author>U4302</author>
    <author>101449</author>
  </authors>
  <commentList>
    <comment ref="I8" authorId="0">
      <text>
        <r>
          <rPr>
            <sz val="11"/>
            <rFont val="ＭＳ Ｐゴシック"/>
            <family val="3"/>
          </rPr>
          <t>取得価額は消費税込みの金額。下取りがある場合は下取り前の金額。</t>
        </r>
      </text>
    </comment>
    <comment ref="J8" authorId="0">
      <text>
        <r>
          <rPr>
            <sz val="11"/>
            <rFont val="ＭＳ Ｐゴシック"/>
            <family val="3"/>
          </rPr>
          <t>取得価額の９０％の金額。
（残存価額１０％を引きます。）
※平成１９年４月１日以降に取得した場合は、取得価額と同額になります。(H19税制改正)</t>
        </r>
      </text>
    </comment>
    <comment ref="P8" authorId="0">
      <text>
        <r>
          <rPr>
            <sz val="11"/>
            <rFont val="ＭＳ Ｐゴシック"/>
            <family val="3"/>
          </rPr>
          <t>購入した年は月割計算になります。
例：４月に購入
　　　　↓
償却期間　９／１２
譲渡又は除却した年も月割計算をします。</t>
        </r>
      </text>
    </comment>
    <comment ref="U8" authorId="0">
      <text>
        <r>
          <rPr>
            <sz val="11"/>
            <rFont val="ＭＳ Ｐゴシック"/>
            <family val="3"/>
          </rPr>
          <t>㋦未償却残高の１年目の行は㋑の金額から㋭の金額を差し引いた金額。
２年目以降の行は前年の未償却残高から当該年の㋭の金額を差し引いた金額。（㋑取得価額－償却費累計額　と同じになる。）</t>
        </r>
      </text>
    </comment>
    <comment ref="R29" authorId="0">
      <text>
        <r>
          <rPr>
            <sz val="11"/>
            <rFont val="ＭＳ Ｐゴシック"/>
            <family val="3"/>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 ref="X19" authorId="1">
      <text>
        <r>
          <rPr>
            <sz val="11"/>
            <rFont val="MS P ゴシック"/>
            <family val="3"/>
          </rPr>
          <t>上記にない場合はこちらに手入力してください。</t>
        </r>
      </text>
    </comment>
  </commentList>
</comments>
</file>

<file path=xl/comments3.xml><?xml version="1.0" encoding="utf-8"?>
<comments xmlns="http://schemas.openxmlformats.org/spreadsheetml/2006/main">
  <authors>
    <author>U4302</author>
    <author>101449</author>
  </authors>
  <commentList>
    <comment ref="AA8" authorId="0">
      <text>
        <r>
          <rPr>
            <sz val="11"/>
            <rFont val="ＭＳ Ｐゴシック"/>
            <family val="3"/>
          </rPr>
          <t>平成１９年４月１日以降に取得したものは耐用年数経過時点において１円まで償却することとされました。</t>
        </r>
      </text>
    </comment>
    <comment ref="H8" authorId="0">
      <text>
        <r>
          <rPr>
            <sz val="11"/>
            <rFont val="ＭＳ Ｐゴシック"/>
            <family val="3"/>
          </rPr>
          <t>取得価額は消費税込みの金額。下取りがある場合は下取り前の金額。</t>
        </r>
      </text>
    </comment>
    <comment ref="I8" authorId="0">
      <text>
        <r>
          <rPr>
            <sz val="11"/>
            <rFont val="ＭＳ Ｐゴシック"/>
            <family val="3"/>
          </rPr>
          <t>取得価額の９０％の金額。
（残存価額１０％を引きます。）
※平成１９年４月１日以降に取得した場合は、取得価額と同額になります。(H19税制改正)</t>
        </r>
      </text>
    </comment>
    <comment ref="M8" authorId="0">
      <text>
        <r>
          <rPr>
            <sz val="11"/>
            <rFont val="ＭＳ Ｐゴシック"/>
            <family val="3"/>
          </rPr>
          <t>主な資産の耐用年数
主としてコンクリート造、れんが造、石造又はブロック造のもの
　果樹棚又はホップ棚　14年
　その他　　　　　　　　　　17年
主として金属造のもの　14年
主として木造のもの　　　5年
土管を主としたもの　　　10年
その他のもの　　　　　　　8年</t>
        </r>
      </text>
    </comment>
    <comment ref="O8" authorId="0">
      <text>
        <r>
          <rPr>
            <sz val="11"/>
            <rFont val="ＭＳ Ｐゴシック"/>
            <family val="3"/>
          </rPr>
          <t>購入した年は月割計算になります。
例：４月に購入
　　　　↓
償却期間　９／１２
譲渡又は除却した年も月割計算をします。</t>
        </r>
      </text>
    </comment>
    <comment ref="Z8" authorId="0">
      <text>
        <r>
          <rPr>
            <sz val="11"/>
            <rFont val="ＭＳ Ｐゴシック"/>
            <family val="3"/>
          </rPr>
          <t>１年目の行は㋑の金額から㋭の金額を差し引いた金額。
２年目以降の行は前年の未償却残高から㋭の金額を差し引いた金額。（㋑取得価額－償却費累計）</t>
        </r>
      </text>
    </comment>
    <comment ref="Q29" authorId="0">
      <text>
        <r>
          <rPr>
            <sz val="11"/>
            <rFont val="ＭＳ Ｐゴシック"/>
            <family val="3"/>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 ref="AD27" authorId="1">
      <text>
        <r>
          <rPr>
            <sz val="11"/>
            <rFont val="MS P ゴシック"/>
            <family val="3"/>
          </rPr>
          <t>上記にない場合はこちらに手入力してください。</t>
        </r>
      </text>
    </comment>
  </commentList>
</comments>
</file>

<file path=xl/comments4.xml><?xml version="1.0" encoding="utf-8"?>
<comments xmlns="http://schemas.openxmlformats.org/spreadsheetml/2006/main">
  <authors>
    <author>U4302</author>
  </authors>
  <commentList>
    <comment ref="E7" authorId="0">
      <text>
        <r>
          <rPr>
            <sz val="11"/>
            <rFont val="ＭＳ Ｐゴシック"/>
            <family val="3"/>
          </rPr>
          <t>取得価額は消費税込みの金額。下取りがある場合は下取り前の金額。</t>
        </r>
      </text>
    </comment>
    <comment ref="F7" authorId="0">
      <text>
        <r>
          <rPr>
            <sz val="11"/>
            <rFont val="ＭＳ Ｐゴシック"/>
            <family val="3"/>
          </rPr>
          <t>取得価額の９０％の金額。
（残存価額１０％を引きます。）
※平成１９年４月１日以降に取得した場合は、取得価額と同額になります。(H19税制改正)</t>
        </r>
      </text>
    </comment>
    <comment ref="Q7" authorId="0">
      <text>
        <r>
          <rPr>
            <sz val="11"/>
            <rFont val="ＭＳ Ｐゴシック"/>
            <family val="3"/>
          </rPr>
          <t>平成１９年４月１日以降に取得したものは耐用年数経過時点において１円まで償却することとされました。</t>
        </r>
      </text>
    </comment>
    <comment ref="M24" authorId="0">
      <text>
        <r>
          <rPr>
            <sz val="11"/>
            <rFont val="ＭＳ Ｐゴシック"/>
            <family val="3"/>
          </rPr>
          <t>（前年の償却費累計額＋㋭の金額）が償却可能限度額（㋑取得価額の９５％）を超える場合は、その超える部分の金額を㋭の金額から差し引きます。
残った５％の金額（残存価額）は除却した年に「固定資産除却損」として必要経費に算入してください。
※償却可能限度額に達した年の翌年分以後に1/5ずつ１円になるまで償却します。(H20年分以後に適用)</t>
        </r>
      </text>
    </comment>
    <comment ref="P7" authorId="0">
      <text>
        <r>
          <rPr>
            <sz val="11"/>
            <rFont val="ＭＳ Ｐゴシック"/>
            <family val="3"/>
          </rPr>
          <t>１年目の行は㋑の金額から㋭の金額を差し引いた金額。
２年目以降の行は前年の未償却残高から㋭の金額を差し引いた金額。（㋑取得価額－償却費累計）</t>
        </r>
      </text>
    </comment>
    <comment ref="I7" authorId="0">
      <text>
        <r>
          <rPr>
            <sz val="11"/>
            <rFont val="ＭＳ Ｐゴシック"/>
            <family val="3"/>
          </rPr>
          <t>主な資産の耐用年数と償却率
H21年分からは農業用機械の耐用年数が一律７年（新0.143旧0.142）になります。(H20税制改正)
軽トラック　　　　 4年（0.250）
普通トラック　　　5年（0.200）
旧耐用年数（H20年まで）
耕うん機　　　　　5年（0.200）
乗用トラクター　　8年（0.125）
〃アタッチメント　5年（0.200）
田植機　　　　　　5年（0.200）
コンバイン　　　　5年（0.200）
バインダー　　　 5年（0.200）
脱穀機　　　　　　8年（0.125）
もみすり機　　　　8年（0.125）
乾燥機　　　　　　8年（0.125）
精米機　　　　　10年（0.100）
中古の場合は別途計算方法があります。</t>
        </r>
      </text>
    </comment>
    <comment ref="K7" authorId="0">
      <text>
        <r>
          <rPr>
            <sz val="11"/>
            <rFont val="ＭＳ Ｐゴシック"/>
            <family val="3"/>
          </rPr>
          <t>購入した年は月割計算になります。
例：４月に購入
　　　　↓
償却期間　９／１２
譲渡又は除却した年も月割計算をします。</t>
        </r>
      </text>
    </comment>
  </commentList>
</comments>
</file>

<file path=xl/sharedStrings.xml><?xml version="1.0" encoding="utf-8"?>
<sst xmlns="http://schemas.openxmlformats.org/spreadsheetml/2006/main" count="320" uniqueCount="120">
  <si>
    <t>償却費累計額</t>
  </si>
  <si>
    <t>　　　　　　　　　　　　　　　　　　　　　　　　　　　　　　　　　　　　旧定額法または定額法による</t>
  </si>
  <si>
    <t>１２年目
　 　　年</t>
  </si>
  <si>
    <t>㋩</t>
  </si>
  <si>
    <t>/</t>
  </si>
  <si>
    <t>㋺</t>
  </si>
  <si>
    <t>法定耐用年数H21～</t>
  </si>
  <si>
    <t>作業所（木造）</t>
  </si>
  <si>
    <t>㋑</t>
  </si>
  <si>
    <t>西暦</t>
  </si>
  <si>
    <t>減 価 償 却 費 の 算 出 表</t>
  </si>
  <si>
    <t>未償却残高
(期末残高)</t>
  </si>
  <si>
    <t>元号年</t>
  </si>
  <si>
    <t>作業所（金属造り）</t>
  </si>
  <si>
    <t>㋦</t>
  </si>
  <si>
    <t>(金額欄の単位：円)</t>
  </si>
  <si>
    <t>㋭</t>
  </si>
  <si>
    <t>㋥</t>
  </si>
  <si>
    <t>年分</t>
  </si>
  <si>
    <t>名称</t>
  </si>
  <si>
    <t>元号
リスト</t>
  </si>
  <si>
    <t>１４年目
　 　　年</t>
  </si>
  <si>
    <t>耐用
年数</t>
  </si>
  <si>
    <t>数量</t>
  </si>
  <si>
    <t>H</t>
  </si>
  <si>
    <t>取得年月</t>
  </si>
  <si>
    <t>１年目
　 　　年</t>
  </si>
  <si>
    <t>償却費累計</t>
  </si>
  <si>
    <t>６年目
　 　　年</t>
  </si>
  <si>
    <t>取得価額</t>
  </si>
  <si>
    <t>９年目
　 　　年</t>
  </si>
  <si>
    <t>償却の基礎
になる金額</t>
  </si>
  <si>
    <t>新償却率
H1904～</t>
  </si>
  <si>
    <t>もみすり機</t>
  </si>
  <si>
    <t>償却方法</t>
  </si>
  <si>
    <t>均等償却額</t>
  </si>
  <si>
    <t>１１年目
　 　　年</t>
  </si>
  <si>
    <t>償却率</t>
  </si>
  <si>
    <t>当年中の
償却期間</t>
  </si>
  <si>
    <t>当年分の
償却費
㋺×㋩×㋥</t>
  </si>
  <si>
    <t>３年目
　 　　年</t>
  </si>
  <si>
    <t>償却可能限度額
（㋑×９５％）
又は（㋑－１）</t>
  </si>
  <si>
    <t>年</t>
  </si>
  <si>
    <t>月</t>
  </si>
  <si>
    <t>償却費</t>
  </si>
  <si>
    <t>田植機</t>
  </si>
  <si>
    <t>旧定額
定額</t>
  </si>
  <si>
    <t>２年目
　 　　年</t>
  </si>
  <si>
    <t>４年目
　 　　年</t>
  </si>
  <si>
    <t>５年目
　 　　年</t>
  </si>
  <si>
    <t>７年目
　 　　年</t>
  </si>
  <si>
    <t>法定耐用年数</t>
  </si>
  <si>
    <t>８年目
　 　　年</t>
  </si>
  <si>
    <t>１０年目
　 　　年</t>
  </si>
  <si>
    <t>１３年目
　 　　年</t>
  </si>
  <si>
    <t>農用井戸（コンクリート）</t>
  </si>
  <si>
    <t>１５年目
　 　　年</t>
  </si>
  <si>
    <t>１６年目
　 　　年</t>
  </si>
  <si>
    <t>旧償却率
～H1903</t>
  </si>
  <si>
    <t>１７年目
　 　　年</t>
  </si>
  <si>
    <t>非表示</t>
  </si>
  <si>
    <t>１８年目
　 　　年</t>
  </si>
  <si>
    <t>　　　　　　　　　　　　　　　　　　　　　　  旧定額法または定額法による</t>
  </si>
  <si>
    <t>取得年月
（元号､年､月）</t>
  </si>
  <si>
    <t>減 価 償 却 費 の 算 出 表 (農機具、農用車両)</t>
  </si>
  <si>
    <t>本シートは魚沼市独自で作成したものであり、計算結果等の確認はあくまで自己責任でお願いいたします。</t>
  </si>
  <si>
    <t>年目</t>
  </si>
  <si>
    <t>元号</t>
  </si>
  <si>
    <t>乗用トラクター</t>
  </si>
  <si>
    <t>未償却残高</t>
  </si>
  <si>
    <t>5%分の未償却残高</t>
  </si>
  <si>
    <t>耕うん機</t>
  </si>
  <si>
    <t>S</t>
  </si>
  <si>
    <t>アタッチメント</t>
  </si>
  <si>
    <t>ｺﾝｸﾘｰﾄ構築物（旧17新14）</t>
  </si>
  <si>
    <t>コンバイン（その他）</t>
  </si>
  <si>
    <t>R</t>
  </si>
  <si>
    <t>コンバイン（自脱型）</t>
  </si>
  <si>
    <t>バインダー</t>
  </si>
  <si>
    <t>中古資産（３年）</t>
  </si>
  <si>
    <t>脱穀機</t>
  </si>
  <si>
    <t>乾燥機</t>
  </si>
  <si>
    <t>精米機</t>
  </si>
  <si>
    <t>　　　　　　　　　　　　　　　　　　　　　　　　　　　　  　旧定額法または定額法による</t>
  </si>
  <si>
    <t>米保冷庫</t>
  </si>
  <si>
    <t>/</t>
  </si>
  <si>
    <t>軽トラック</t>
  </si>
  <si>
    <t>普通トラック</t>
  </si>
  <si>
    <t>中古資産（２年）</t>
  </si>
  <si>
    <t>　　　　　　　　　　　　　　　　　　　　　　　　　　　　　　  旧定額法または定額法による</t>
  </si>
  <si>
    <t>減 価 償 却 費 の 算 出 表 (建物）</t>
  </si>
  <si>
    <t>倉庫（木造）</t>
  </si>
  <si>
    <t>格納庫（木造）</t>
  </si>
  <si>
    <t>車庫（木造）</t>
  </si>
  <si>
    <t>倉庫（金属造り）</t>
  </si>
  <si>
    <t>格納庫（金属造り）</t>
  </si>
  <si>
    <t>車庫（金属造り）</t>
  </si>
  <si>
    <t>鉄骨鉄筋コンクリート造</t>
  </si>
  <si>
    <t>金属造肉厚4ミリ超</t>
  </si>
  <si>
    <t>車庫（金属造肉厚3～4ミリ）</t>
  </si>
  <si>
    <t>倉庫（金属造肉厚3～4ミリ）</t>
  </si>
  <si>
    <t>減 価 償 却 費 の 算 出 表 (構築物)</t>
  </si>
  <si>
    <t>農用井戸（金属）</t>
  </si>
  <si>
    <t>農用井戸（ビニール）</t>
  </si>
  <si>
    <t>ｺﾝｸﾘｰﾄ構築物（旧17新17）</t>
  </si>
  <si>
    <t>ｺﾝｸﾘｰﾄ構築物（旧20新17）</t>
  </si>
  <si>
    <t>れんが構築物（旧17新14）</t>
  </si>
  <si>
    <t>ブロック構築物（旧17新14）</t>
  </si>
  <si>
    <t>れんが構築物（旧17新17）</t>
  </si>
  <si>
    <t>れんが構築物（旧20新17）</t>
  </si>
  <si>
    <t>石造構築物（旧17新14）</t>
  </si>
  <si>
    <t>石造構築物（旧17新17）</t>
  </si>
  <si>
    <t>石造構築物（旧20新17）</t>
  </si>
  <si>
    <t>ブロック構築物（旧17新17）</t>
  </si>
  <si>
    <t>ブロック構築物（旧20新17）</t>
  </si>
  <si>
    <t>金属構築物（旧13新14）</t>
  </si>
  <si>
    <t>金属構築物（旧15新14）</t>
  </si>
  <si>
    <t>木造構築物（５年）</t>
  </si>
  <si>
    <t>土管構築物（10年）</t>
  </si>
  <si>
    <t>その他構築物（８年）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</si>
</sst>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000_ "/>
    <numFmt numFmtId="180" formatCode="#,##0.000_);[Red]\(#,##0.000\)"/>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b/>
      <sz val="24"/>
      <name val="ＭＳ Ｐゴシック"/>
      <family val="3"/>
    </font>
    <font>
      <sz val="10"/>
      <name val="ＭＳ Ｐゴシック"/>
      <family val="3"/>
    </font>
    <font>
      <vertAlign val="superscript"/>
      <sz val="12"/>
      <name val="ＭＳ Ｐゴシック"/>
      <family val="3"/>
    </font>
    <font>
      <sz val="6"/>
      <name val="ＭＳ Ｐゴシック"/>
      <family val="3"/>
    </font>
    <font>
      <b/>
      <sz val="12"/>
      <name val="ＭＳ Ｐゴシック"/>
      <family val="3"/>
    </font>
    <font>
      <sz val="11"/>
      <name val="MS P ゴシック"/>
      <family val="3"/>
    </font>
    <font>
      <sz val="9"/>
      <name val="Meiryo UI"/>
      <family val="3"/>
    </font>
    <font>
      <b/>
      <sz val="8"/>
      <name val="ＭＳ Ｐゴシック"/>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Gray"/>
    </fill>
    <fill>
      <patternFill patternType="solid">
        <fgColor indexed="13"/>
        <bgColor indexed="64"/>
      </patternFill>
    </fill>
    <fill>
      <patternFill patternType="lightGray">
        <bgColor indexed="13"/>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medium"/>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medium"/>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style="thin"/>
      <right style="thin"/>
      <top>
        <color indexed="63"/>
      </top>
      <bottom>
        <color indexed="63"/>
      </bottom>
    </border>
    <border>
      <left style="medium"/>
      <right style="medium"/>
      <top style="thin"/>
      <bottom style="mediu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dotted"/>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14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23"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right" vertical="center"/>
    </xf>
    <xf numFmtId="0" fontId="23" fillId="0" borderId="13" xfId="0" applyFont="1" applyBorder="1" applyAlignment="1">
      <alignment vertical="center"/>
    </xf>
    <xf numFmtId="0" fontId="23" fillId="0" borderId="13" xfId="0" applyFont="1" applyBorder="1" applyAlignment="1">
      <alignment horizontal="left" vertical="center"/>
    </xf>
    <xf numFmtId="0" fontId="23" fillId="0" borderId="14" xfId="0" applyFont="1" applyBorder="1" applyAlignment="1">
      <alignment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7" xfId="0" applyFont="1" applyBorder="1" applyAlignment="1">
      <alignment horizontal="center" vertical="center" wrapText="1"/>
    </xf>
    <xf numFmtId="176" fontId="25" fillId="0" borderId="20" xfId="0" applyNumberFormat="1" applyFont="1" applyBorder="1" applyAlignment="1">
      <alignment vertical="center" wrapText="1"/>
    </xf>
    <xf numFmtId="0" fontId="23" fillId="0" borderId="20" xfId="0" applyFont="1" applyFill="1" applyBorder="1" applyAlignment="1">
      <alignment vertical="center"/>
    </xf>
    <xf numFmtId="0" fontId="23" fillId="0" borderId="21" xfId="0" applyFont="1" applyFill="1" applyBorder="1" applyAlignment="1">
      <alignment vertical="center"/>
    </xf>
    <xf numFmtId="176" fontId="26" fillId="0" borderId="20" xfId="0" applyNumberFormat="1" applyFont="1" applyFill="1" applyBorder="1" applyAlignment="1">
      <alignment horizontal="right" vertical="top"/>
    </xf>
    <xf numFmtId="177" fontId="26" fillId="0" borderId="20" xfId="0" applyNumberFormat="1" applyFont="1" applyFill="1" applyBorder="1" applyAlignment="1">
      <alignment horizontal="right" vertical="top"/>
    </xf>
    <xf numFmtId="178" fontId="23" fillId="0" borderId="20" xfId="0" applyNumberFormat="1" applyFont="1" applyFill="1" applyBorder="1" applyAlignment="1">
      <alignment vertical="center"/>
    </xf>
    <xf numFmtId="0" fontId="27" fillId="0" borderId="20" xfId="0" applyFont="1" applyFill="1" applyBorder="1" applyAlignment="1">
      <alignment horizontal="center" vertical="center" wrapText="1" shrinkToFit="1"/>
    </xf>
    <xf numFmtId="179" fontId="23" fillId="0" borderId="20" xfId="0" applyNumberFormat="1" applyFont="1" applyFill="1" applyBorder="1" applyAlignment="1">
      <alignment horizontal="center" vertical="center"/>
    </xf>
    <xf numFmtId="178" fontId="23" fillId="0" borderId="21" xfId="0" applyNumberFormat="1" applyFont="1" applyBorder="1" applyAlignment="1">
      <alignment horizontal="right" vertical="center" shrinkToFit="1"/>
    </xf>
    <xf numFmtId="178" fontId="23" fillId="0" borderId="22" xfId="0" applyNumberFormat="1" applyFont="1" applyBorder="1" applyAlignment="1">
      <alignment horizontal="center" vertical="center" shrinkToFit="1"/>
    </xf>
    <xf numFmtId="0" fontId="23" fillId="0" borderId="22" xfId="0" applyNumberFormat="1" applyFont="1" applyBorder="1" applyAlignment="1">
      <alignment horizontal="left" vertical="center" shrinkToFit="1"/>
    </xf>
    <xf numFmtId="178" fontId="23" fillId="0" borderId="23" xfId="0" applyNumberFormat="1" applyFont="1" applyBorder="1" applyAlignment="1">
      <alignment vertical="center"/>
    </xf>
    <xf numFmtId="178" fontId="23" fillId="0" borderId="24" xfId="0" applyNumberFormat="1" applyFont="1" applyBorder="1" applyAlignment="1">
      <alignment vertical="center"/>
    </xf>
    <xf numFmtId="178" fontId="23" fillId="0" borderId="20" xfId="0" applyNumberFormat="1" applyFont="1" applyBorder="1" applyAlignment="1">
      <alignment vertical="center"/>
    </xf>
    <xf numFmtId="178" fontId="23" fillId="0" borderId="10" xfId="0" applyNumberFormat="1" applyFont="1" applyBorder="1" applyAlignment="1">
      <alignment vertical="center"/>
    </xf>
    <xf numFmtId="0" fontId="23" fillId="0" borderId="0" xfId="0" applyFont="1" applyBorder="1" applyAlignment="1">
      <alignment vertical="center"/>
    </xf>
    <xf numFmtId="0" fontId="23" fillId="18" borderId="20" xfId="0" applyFont="1" applyFill="1" applyBorder="1" applyAlignment="1">
      <alignment vertical="center"/>
    </xf>
    <xf numFmtId="0" fontId="23" fillId="18" borderId="21" xfId="0" applyFont="1" applyFill="1" applyBorder="1" applyAlignment="1">
      <alignment vertical="center"/>
    </xf>
    <xf numFmtId="176" fontId="23" fillId="18" borderId="20" xfId="0" applyNumberFormat="1" applyFont="1" applyFill="1" applyBorder="1" applyAlignment="1">
      <alignment vertical="center"/>
    </xf>
    <xf numFmtId="177" fontId="23" fillId="18" borderId="20" xfId="0" applyNumberFormat="1" applyFont="1" applyFill="1" applyBorder="1" applyAlignment="1">
      <alignment vertical="center"/>
    </xf>
    <xf numFmtId="178" fontId="23" fillId="18" borderId="20" xfId="0" applyNumberFormat="1" applyFont="1" applyFill="1" applyBorder="1" applyAlignment="1">
      <alignment vertical="center"/>
    </xf>
    <xf numFmtId="0" fontId="23" fillId="18" borderId="20" xfId="0" applyFont="1" applyFill="1" applyBorder="1" applyAlignment="1">
      <alignment horizontal="center" vertical="center"/>
    </xf>
    <xf numFmtId="0" fontId="23" fillId="0" borderId="21" xfId="0" applyNumberFormat="1" applyFont="1" applyBorder="1" applyAlignment="1">
      <alignment horizontal="right" vertical="center" shrinkToFit="1"/>
    </xf>
    <xf numFmtId="178" fontId="28" fillId="0" borderId="23" xfId="0" applyNumberFormat="1" applyFont="1" applyBorder="1" applyAlignment="1">
      <alignment vertical="center" shrinkToFit="1"/>
    </xf>
    <xf numFmtId="178" fontId="23" fillId="0" borderId="24" xfId="0" applyNumberFormat="1" applyFont="1" applyBorder="1" applyAlignment="1">
      <alignment vertical="center" shrinkToFit="1"/>
    </xf>
    <xf numFmtId="178" fontId="23" fillId="0" borderId="20" xfId="0" applyNumberFormat="1" applyFont="1" applyBorder="1" applyAlignment="1">
      <alignment vertical="center" shrinkToFit="1"/>
    </xf>
    <xf numFmtId="178" fontId="23" fillId="0" borderId="25" xfId="0" applyNumberFormat="1" applyFont="1" applyBorder="1" applyAlignment="1">
      <alignment vertical="center" shrinkToFit="1"/>
    </xf>
    <xf numFmtId="178" fontId="28" fillId="0" borderId="26" xfId="0" applyNumberFormat="1" applyFont="1" applyBorder="1" applyAlignment="1">
      <alignment vertical="center" shrinkToFit="1"/>
    </xf>
    <xf numFmtId="178" fontId="23" fillId="0" borderId="15" xfId="0" applyNumberFormat="1" applyFont="1" applyBorder="1" applyAlignment="1">
      <alignment vertical="center" shrinkToFit="1"/>
    </xf>
    <xf numFmtId="0" fontId="0" fillId="19" borderId="0" xfId="0" applyFill="1" applyAlignment="1">
      <alignment vertical="center"/>
    </xf>
    <xf numFmtId="0" fontId="0" fillId="19" borderId="0" xfId="0" applyFill="1" applyAlignment="1">
      <alignment horizontal="center" vertical="center"/>
    </xf>
    <xf numFmtId="0" fontId="0" fillId="19" borderId="0" xfId="49" applyNumberFormat="1" applyFont="1" applyFill="1" applyAlignment="1">
      <alignment vertical="center"/>
    </xf>
    <xf numFmtId="178" fontId="0" fillId="0" borderId="0" xfId="0" applyNumberFormat="1" applyAlignment="1">
      <alignment vertical="center"/>
    </xf>
    <xf numFmtId="178" fontId="0" fillId="0" borderId="0" xfId="0" applyNumberFormat="1" applyAlignment="1">
      <alignment/>
    </xf>
    <xf numFmtId="0" fontId="23" fillId="19" borderId="0" xfId="0" applyFont="1" applyFill="1" applyAlignment="1">
      <alignment vertical="center"/>
    </xf>
    <xf numFmtId="0" fontId="23" fillId="19" borderId="0" xfId="0" applyFont="1" applyFill="1" applyAlignment="1">
      <alignment horizontal="center" vertical="center"/>
    </xf>
    <xf numFmtId="0" fontId="23" fillId="19" borderId="0" xfId="49" applyNumberFormat="1" applyFont="1" applyFill="1" applyAlignment="1">
      <alignment vertical="center"/>
    </xf>
    <xf numFmtId="178" fontId="23" fillId="0" borderId="0" xfId="0" applyNumberFormat="1" applyFont="1" applyAlignment="1">
      <alignment vertical="center"/>
    </xf>
    <xf numFmtId="0" fontId="23" fillId="19" borderId="11" xfId="0" applyFont="1" applyFill="1" applyBorder="1" applyAlignment="1">
      <alignment vertical="center"/>
    </xf>
    <xf numFmtId="0" fontId="23" fillId="19" borderId="11" xfId="0" applyFont="1" applyFill="1" applyBorder="1" applyAlignment="1">
      <alignment horizontal="center" vertical="center"/>
    </xf>
    <xf numFmtId="0" fontId="23" fillId="19" borderId="0" xfId="0" applyFont="1" applyFill="1" applyBorder="1" applyAlignment="1">
      <alignment vertical="center"/>
    </xf>
    <xf numFmtId="0" fontId="23" fillId="19" borderId="0" xfId="49" applyNumberFormat="1" applyFont="1" applyFill="1" applyBorder="1" applyAlignment="1">
      <alignment vertical="center"/>
    </xf>
    <xf numFmtId="0" fontId="23" fillId="0" borderId="25" xfId="0" applyFont="1" applyBorder="1" applyAlignment="1">
      <alignment horizontal="center" vertical="center" wrapText="1"/>
    </xf>
    <xf numFmtId="0" fontId="23" fillId="0" borderId="27" xfId="0" applyFont="1" applyBorder="1" applyAlignment="1">
      <alignment horizontal="center" vertical="center" shrinkToFit="1"/>
    </xf>
    <xf numFmtId="0" fontId="23" fillId="19" borderId="27" xfId="0" applyFont="1" applyFill="1" applyBorder="1" applyAlignment="1">
      <alignment horizontal="center" vertical="center" shrinkToFit="1"/>
    </xf>
    <xf numFmtId="0" fontId="25" fillId="0" borderId="25" xfId="0" applyFont="1" applyBorder="1" applyAlignment="1">
      <alignment horizontal="center" vertical="center" wrapText="1"/>
    </xf>
    <xf numFmtId="0" fontId="23" fillId="0" borderId="28" xfId="0" applyFont="1" applyBorder="1" applyAlignment="1">
      <alignment horizontal="center" vertical="center" wrapText="1"/>
    </xf>
    <xf numFmtId="0" fontId="23" fillId="19" borderId="0" xfId="0" applyFont="1" applyFill="1" applyBorder="1" applyAlignment="1">
      <alignment horizontal="center" vertical="center" wrapText="1"/>
    </xf>
    <xf numFmtId="0" fontId="23" fillId="19" borderId="0" xfId="49" applyNumberFormat="1" applyFont="1" applyFill="1" applyBorder="1" applyAlignment="1">
      <alignment horizontal="center" vertical="center" wrapText="1"/>
    </xf>
    <xf numFmtId="0" fontId="23" fillId="0" borderId="29" xfId="0" applyFont="1" applyBorder="1" applyAlignment="1">
      <alignment horizontal="center" vertical="center" wrapText="1"/>
    </xf>
    <xf numFmtId="178" fontId="23" fillId="0" borderId="10" xfId="0" applyNumberFormat="1" applyFont="1" applyBorder="1" applyAlignment="1">
      <alignment horizontal="center" vertical="center" shrinkToFit="1"/>
    </xf>
    <xf numFmtId="0" fontId="23" fillId="0" borderId="10" xfId="0" applyFont="1" applyBorder="1" applyAlignment="1">
      <alignment horizontal="center" vertical="center" wrapText="1"/>
    </xf>
    <xf numFmtId="0" fontId="23" fillId="19" borderId="16" xfId="0" applyFont="1" applyFill="1" applyBorder="1" applyAlignment="1">
      <alignment horizontal="center" vertical="center" shrinkToFit="1"/>
    </xf>
    <xf numFmtId="0" fontId="23" fillId="0" borderId="16" xfId="0" applyFont="1" applyBorder="1" applyAlignment="1">
      <alignment horizontal="center" vertical="center" wrapText="1" shrinkToFit="1"/>
    </xf>
    <xf numFmtId="0" fontId="23" fillId="0" borderId="18" xfId="0" applyFont="1"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19" borderId="18" xfId="0" applyFont="1" applyFill="1" applyBorder="1" applyAlignment="1">
      <alignment horizontal="center" vertical="center" wrapText="1"/>
    </xf>
    <xf numFmtId="0" fontId="23" fillId="19" borderId="18" xfId="49" applyNumberFormat="1" applyFont="1" applyFill="1" applyBorder="1" applyAlignment="1">
      <alignment horizontal="center" vertical="center" wrapText="1"/>
    </xf>
    <xf numFmtId="178" fontId="23" fillId="0" borderId="15" xfId="0" applyNumberFormat="1" applyFont="1" applyBorder="1" applyAlignment="1">
      <alignment horizontal="center" vertical="center" shrinkToFit="1"/>
    </xf>
    <xf numFmtId="0" fontId="23" fillId="5" borderId="20" xfId="0" applyFont="1" applyFill="1" applyBorder="1" applyAlignment="1" applyProtection="1">
      <alignment vertical="center" shrinkToFit="1"/>
      <protection locked="0"/>
    </xf>
    <xf numFmtId="0" fontId="23" fillId="0" borderId="21" xfId="0" applyFont="1" applyFill="1" applyBorder="1" applyAlignment="1">
      <alignment horizontal="center" vertical="center"/>
    </xf>
    <xf numFmtId="0" fontId="23" fillId="19" borderId="21" xfId="0" applyFont="1" applyFill="1" applyBorder="1" applyAlignment="1">
      <alignment horizontal="center" vertical="center"/>
    </xf>
    <xf numFmtId="0" fontId="23" fillId="5" borderId="21" xfId="0" applyFont="1" applyFill="1" applyBorder="1" applyAlignment="1" applyProtection="1">
      <alignment horizontal="center" vertical="center"/>
      <protection locked="0"/>
    </xf>
    <xf numFmtId="0" fontId="23" fillId="5" borderId="30" xfId="0" applyNumberFormat="1" applyFont="1" applyFill="1" applyBorder="1" applyAlignment="1" applyProtection="1">
      <alignment horizontal="center" vertical="center"/>
      <protection locked="0"/>
    </xf>
    <xf numFmtId="0" fontId="23" fillId="5" borderId="20" xfId="0" applyNumberFormat="1" applyFont="1" applyFill="1" applyBorder="1" applyAlignment="1" applyProtection="1">
      <alignment horizontal="center" vertical="center"/>
      <protection locked="0"/>
    </xf>
    <xf numFmtId="178" fontId="23" fillId="5" borderId="20" xfId="0" applyNumberFormat="1" applyFont="1" applyFill="1" applyBorder="1" applyAlignment="1" applyProtection="1">
      <alignment vertical="center" shrinkToFit="1"/>
      <protection locked="0"/>
    </xf>
    <xf numFmtId="178" fontId="23" fillId="0" borderId="20" xfId="0" applyNumberFormat="1" applyFont="1" applyFill="1" applyBorder="1" applyAlignment="1">
      <alignment vertical="center" shrinkToFit="1"/>
    </xf>
    <xf numFmtId="0" fontId="23" fillId="0" borderId="20" xfId="0" applyFont="1" applyFill="1" applyBorder="1" applyAlignment="1">
      <alignment horizontal="center" vertical="center" shrinkToFit="1"/>
    </xf>
    <xf numFmtId="0" fontId="23" fillId="0" borderId="20" xfId="0" applyNumberFormat="1" applyFont="1" applyFill="1" applyBorder="1" applyAlignment="1">
      <alignment horizontal="center" vertical="center"/>
    </xf>
    <xf numFmtId="178" fontId="28" fillId="19" borderId="22" xfId="0" applyNumberFormat="1" applyFont="1" applyFill="1" applyBorder="1" applyAlignment="1">
      <alignment vertical="center" shrinkToFit="1"/>
    </xf>
    <xf numFmtId="0" fontId="28" fillId="19" borderId="22" xfId="0" applyNumberFormat="1" applyFont="1" applyFill="1" applyBorder="1" applyAlignment="1" applyProtection="1">
      <alignment vertical="center"/>
      <protection locked="0"/>
    </xf>
    <xf numFmtId="178" fontId="23" fillId="0" borderId="10" xfId="0" applyNumberFormat="1" applyFont="1" applyBorder="1" applyAlignment="1">
      <alignment vertical="center" shrinkToFit="1"/>
    </xf>
    <xf numFmtId="177" fontId="23" fillId="0" borderId="20" xfId="0" applyNumberFormat="1" applyFont="1" applyBorder="1" applyAlignment="1">
      <alignment vertical="center"/>
    </xf>
    <xf numFmtId="180" fontId="23" fillId="0" borderId="20" xfId="0" applyNumberFormat="1" applyFont="1" applyBorder="1" applyAlignment="1">
      <alignment vertical="center"/>
    </xf>
    <xf numFmtId="0" fontId="23" fillId="0" borderId="20" xfId="0" applyFont="1" applyBorder="1" applyAlignment="1">
      <alignment horizontal="center" vertical="center"/>
    </xf>
    <xf numFmtId="0" fontId="23" fillId="20" borderId="21" xfId="0" applyFont="1" applyFill="1" applyBorder="1" applyAlignment="1">
      <alignment vertical="center"/>
    </xf>
    <xf numFmtId="0" fontId="23" fillId="20" borderId="21" xfId="0" applyFont="1" applyFill="1" applyBorder="1" applyAlignment="1">
      <alignment horizontal="center" vertical="center"/>
    </xf>
    <xf numFmtId="176" fontId="23" fillId="18" borderId="21" xfId="0" applyNumberFormat="1" applyFont="1" applyFill="1" applyBorder="1" applyAlignment="1">
      <alignment vertical="center"/>
    </xf>
    <xf numFmtId="176" fontId="23" fillId="18" borderId="24" xfId="0" applyNumberFormat="1" applyFont="1" applyFill="1" applyBorder="1" applyAlignment="1">
      <alignment vertical="center"/>
    </xf>
    <xf numFmtId="0" fontId="28" fillId="19" borderId="22" xfId="49" applyNumberFormat="1" applyFont="1" applyFill="1" applyBorder="1" applyAlignment="1">
      <alignment vertical="center" shrinkToFit="1"/>
    </xf>
    <xf numFmtId="0" fontId="23" fillId="0" borderId="15" xfId="0" applyFont="1" applyBorder="1" applyAlignment="1">
      <alignment horizontal="center" vertical="center"/>
    </xf>
    <xf numFmtId="177" fontId="23" fillId="0" borderId="10" xfId="0" applyNumberFormat="1" applyFont="1" applyBorder="1" applyAlignment="1">
      <alignment vertical="center"/>
    </xf>
    <xf numFmtId="180" fontId="23" fillId="0" borderId="10" xfId="0" applyNumberFormat="1" applyFont="1" applyBorder="1" applyAlignment="1">
      <alignment vertical="center"/>
    </xf>
    <xf numFmtId="178" fontId="23" fillId="5" borderId="31" xfId="0" applyNumberFormat="1" applyFont="1" applyFill="1" applyBorder="1" applyAlignment="1" applyProtection="1">
      <alignment vertical="center"/>
      <protection locked="0"/>
    </xf>
    <xf numFmtId="177" fontId="23" fillId="5" borderId="32" xfId="0" applyNumberFormat="1" applyFont="1" applyFill="1" applyBorder="1" applyAlignment="1" applyProtection="1">
      <alignment vertical="center"/>
      <protection locked="0"/>
    </xf>
    <xf numFmtId="180" fontId="23" fillId="5" borderId="33" xfId="0" applyNumberFormat="1" applyFont="1" applyFill="1" applyBorder="1" applyAlignment="1" applyProtection="1">
      <alignment vertical="center"/>
      <protection locked="0"/>
    </xf>
    <xf numFmtId="177" fontId="23" fillId="5" borderId="33" xfId="0" applyNumberFormat="1" applyFont="1" applyFill="1" applyBorder="1" applyAlignment="1" applyProtection="1">
      <alignment vertical="center"/>
      <protection locked="0"/>
    </xf>
    <xf numFmtId="180" fontId="23" fillId="5" borderId="34" xfId="0" applyNumberFormat="1" applyFont="1" applyFill="1" applyBorder="1" applyAlignment="1" applyProtection="1">
      <alignment vertical="center"/>
      <protection locked="0"/>
    </xf>
    <xf numFmtId="178" fontId="28" fillId="19" borderId="13" xfId="0" applyNumberFormat="1" applyFont="1" applyFill="1" applyBorder="1" applyAlignment="1">
      <alignment vertical="center" shrinkToFit="1"/>
    </xf>
    <xf numFmtId="0" fontId="28" fillId="19" borderId="13" xfId="49" applyNumberFormat="1" applyFont="1" applyFill="1" applyBorder="1" applyAlignment="1">
      <alignment vertical="center" shrinkToFit="1"/>
    </xf>
    <xf numFmtId="178" fontId="23" fillId="0" borderId="0" xfId="0" applyNumberFormat="1" applyFont="1" applyFill="1" applyBorder="1" applyAlignment="1">
      <alignment vertical="center"/>
    </xf>
    <xf numFmtId="177" fontId="23" fillId="0" borderId="0" xfId="0" applyNumberFormat="1" applyFont="1" applyFill="1" applyBorder="1" applyAlignment="1">
      <alignment vertical="center"/>
    </xf>
    <xf numFmtId="180" fontId="23" fillId="0" borderId="0" xfId="0" applyNumberFormat="1" applyFont="1" applyFill="1" applyBorder="1" applyAlignment="1">
      <alignment vertical="center"/>
    </xf>
    <xf numFmtId="0" fontId="23" fillId="0" borderId="0" xfId="0" applyFont="1" applyFill="1" applyBorder="1" applyAlignment="1">
      <alignment vertical="center"/>
    </xf>
    <xf numFmtId="178" fontId="23" fillId="0" borderId="10" xfId="0" applyNumberFormat="1" applyFont="1" applyBorder="1" applyAlignment="1">
      <alignment horizontal="center" vertical="center" wrapText="1"/>
    </xf>
    <xf numFmtId="0" fontId="23" fillId="0" borderId="0" xfId="0" applyFont="1" applyBorder="1" applyAlignment="1">
      <alignment horizontal="center" vertical="center" wrapText="1"/>
    </xf>
    <xf numFmtId="178" fontId="23" fillId="0" borderId="15" xfId="0" applyNumberFormat="1" applyFont="1" applyBorder="1" applyAlignment="1">
      <alignment horizontal="center" vertical="center" wrapText="1"/>
    </xf>
    <xf numFmtId="177" fontId="23" fillId="0" borderId="0" xfId="0" applyNumberFormat="1" applyFont="1" applyAlignment="1">
      <alignment vertical="center"/>
    </xf>
    <xf numFmtId="176" fontId="23" fillId="18" borderId="17" xfId="0" applyNumberFormat="1" applyFont="1" applyFill="1" applyBorder="1" applyAlignment="1">
      <alignment vertical="center"/>
    </xf>
    <xf numFmtId="178" fontId="28" fillId="0" borderId="35" xfId="0" applyNumberFormat="1" applyFont="1" applyBorder="1" applyAlignment="1">
      <alignment vertical="center" shrinkToFit="1"/>
    </xf>
    <xf numFmtId="178" fontId="23" fillId="0" borderId="0" xfId="0" applyNumberFormat="1" applyFont="1" applyBorder="1" applyAlignment="1">
      <alignment vertical="center"/>
    </xf>
    <xf numFmtId="178" fontId="23" fillId="5" borderId="31" xfId="0" applyNumberFormat="1" applyFont="1" applyFill="1" applyBorder="1" applyAlignment="1" applyProtection="1">
      <alignment vertical="center" shrinkToFit="1"/>
      <protection locked="0"/>
    </xf>
    <xf numFmtId="0" fontId="1" fillId="0" borderId="0" xfId="0" applyFont="1" applyAlignment="1">
      <alignment horizontal="left" vertical="center"/>
    </xf>
    <xf numFmtId="0" fontId="24" fillId="0" borderId="0" xfId="0" applyFont="1" applyAlignment="1">
      <alignment horizontal="center"/>
    </xf>
    <xf numFmtId="0" fontId="23" fillId="0" borderId="27"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29" xfId="0" applyFont="1" applyBorder="1" applyAlignment="1">
      <alignment horizontal="center" vertical="center" wrapText="1" shrinkToFit="1"/>
    </xf>
    <xf numFmtId="0" fontId="25" fillId="0" borderId="27"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29"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L33"/>
  <sheetViews>
    <sheetView tabSelected="1" zoomScale="75" zoomScaleNormal="75" zoomScalePageLayoutView="0" workbookViewId="0" topLeftCell="A1">
      <selection activeCell="I7" sqref="I7"/>
    </sheetView>
  </sheetViews>
  <sheetFormatPr defaultColWidth="9.00390625" defaultRowHeight="13.5"/>
  <cols>
    <col min="1" max="1" width="15.00390625" style="1" customWidth="1"/>
    <col min="2" max="2" width="4.50390625" style="1" customWidth="1"/>
    <col min="3" max="3" width="5.00390625" style="55" hidden="1" customWidth="1"/>
    <col min="4" max="5" width="8.00390625" style="56" hidden="1" customWidth="1"/>
    <col min="6" max="7" width="5.50390625" style="1" customWidth="1"/>
    <col min="8" max="8" width="4.25390625" style="1" customWidth="1"/>
    <col min="9" max="10" width="14.375" style="1" customWidth="1"/>
    <col min="11" max="11" width="4.625" style="2" customWidth="1"/>
    <col min="12" max="12" width="6.625" style="1" customWidth="1"/>
    <col min="13" max="13" width="5.25390625" style="1" bestFit="1" customWidth="1"/>
    <col min="14" max="14" width="6.625" style="2" customWidth="1"/>
    <col min="15" max="15" width="3.125" style="3" customWidth="1"/>
    <col min="16" max="16" width="1.75390625" style="1" customWidth="1"/>
    <col min="17" max="17" width="3.125" style="4" customWidth="1"/>
    <col min="18" max="18" width="12.50390625" style="1" customWidth="1"/>
    <col min="19" max="21" width="12.50390625" style="55" hidden="1" customWidth="1"/>
    <col min="22" max="22" width="12.50390625" style="57" hidden="1" customWidth="1"/>
    <col min="23" max="24" width="12.50390625" style="55" hidden="1" customWidth="1"/>
    <col min="25" max="27" width="14.375" style="1" customWidth="1"/>
    <col min="28" max="28" width="6.625" style="1" customWidth="1"/>
    <col min="29" max="29" width="12.625" style="1" customWidth="1"/>
    <col min="30" max="30" width="12.625" style="58" customWidth="1"/>
    <col min="31" max="36" width="12.625" style="1" customWidth="1"/>
    <col min="37" max="37" width="9.00390625" style="1" bestFit="1" customWidth="1"/>
    <col min="38" max="16384" width="9.00390625" style="1" customWidth="1"/>
  </cols>
  <sheetData>
    <row r="1" spans="1:27" ht="13.5">
      <c r="A1" s="128" t="s">
        <v>62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row>
    <row r="2" spans="1:30" ht="27" customHeight="1">
      <c r="A2" s="129" t="s">
        <v>64</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D2" s="59"/>
    </row>
    <row r="3" spans="1:30" s="5" customFormat="1" ht="19.5" customHeight="1">
      <c r="A3" s="5" t="s">
        <v>65</v>
      </c>
      <c r="C3" s="60" t="s">
        <v>60</v>
      </c>
      <c r="D3" s="61" t="s">
        <v>60</v>
      </c>
      <c r="E3" s="61" t="s">
        <v>60</v>
      </c>
      <c r="K3" s="7"/>
      <c r="N3" s="7"/>
      <c r="O3" s="8"/>
      <c r="Q3" s="9"/>
      <c r="S3" s="60" t="s">
        <v>60</v>
      </c>
      <c r="T3" s="60" t="s">
        <v>60</v>
      </c>
      <c r="U3" s="60" t="s">
        <v>60</v>
      </c>
      <c r="V3" s="62" t="s">
        <v>60</v>
      </c>
      <c r="W3" s="60" t="s">
        <v>60</v>
      </c>
      <c r="X3" s="60" t="s">
        <v>60</v>
      </c>
      <c r="Z3" s="8"/>
      <c r="AA3" s="8" t="s">
        <v>15</v>
      </c>
      <c r="AD3" s="63"/>
    </row>
    <row r="4" spans="1:30" s="5" customFormat="1" ht="14.25">
      <c r="A4" s="10"/>
      <c r="B4" s="11"/>
      <c r="C4" s="64"/>
      <c r="D4" s="65"/>
      <c r="E4" s="65"/>
      <c r="F4" s="11"/>
      <c r="G4" s="15"/>
      <c r="H4" s="12"/>
      <c r="I4" s="10" t="s">
        <v>8</v>
      </c>
      <c r="J4" s="10" t="s">
        <v>5</v>
      </c>
      <c r="K4" s="13"/>
      <c r="L4" s="10"/>
      <c r="M4" s="10"/>
      <c r="N4" s="10" t="s">
        <v>3</v>
      </c>
      <c r="O4" s="14" t="s">
        <v>17</v>
      </c>
      <c r="P4" s="15"/>
      <c r="Q4" s="16"/>
      <c r="R4" s="17" t="s">
        <v>16</v>
      </c>
      <c r="S4" s="66"/>
      <c r="T4" s="66"/>
      <c r="U4" s="66"/>
      <c r="V4" s="67"/>
      <c r="W4" s="66"/>
      <c r="X4" s="66"/>
      <c r="Y4" s="12"/>
      <c r="Z4" s="10" t="s">
        <v>14</v>
      </c>
      <c r="AA4" s="10"/>
      <c r="AD4" s="63"/>
    </row>
    <row r="5" spans="1:38" s="6" customFormat="1" ht="45.75" customHeight="1">
      <c r="A5" s="68" t="s">
        <v>19</v>
      </c>
      <c r="B5" s="69" t="s">
        <v>23</v>
      </c>
      <c r="C5" s="70" t="s">
        <v>66</v>
      </c>
      <c r="D5" s="70" t="s">
        <v>67</v>
      </c>
      <c r="E5" s="70" t="s">
        <v>12</v>
      </c>
      <c r="F5" s="130" t="s">
        <v>63</v>
      </c>
      <c r="G5" s="131"/>
      <c r="H5" s="132"/>
      <c r="I5" s="68" t="s">
        <v>29</v>
      </c>
      <c r="J5" s="68" t="s">
        <v>31</v>
      </c>
      <c r="K5" s="71" t="s">
        <v>34</v>
      </c>
      <c r="L5" s="68" t="s">
        <v>18</v>
      </c>
      <c r="M5" s="71" t="s">
        <v>22</v>
      </c>
      <c r="N5" s="68" t="s">
        <v>37</v>
      </c>
      <c r="O5" s="133" t="s">
        <v>38</v>
      </c>
      <c r="P5" s="134"/>
      <c r="Q5" s="134"/>
      <c r="R5" s="72" t="s">
        <v>39</v>
      </c>
      <c r="S5" s="73" t="s">
        <v>44</v>
      </c>
      <c r="T5" s="73" t="s">
        <v>27</v>
      </c>
      <c r="U5" s="73" t="s">
        <v>69</v>
      </c>
      <c r="V5" s="74" t="s">
        <v>9</v>
      </c>
      <c r="W5" s="73" t="s">
        <v>35</v>
      </c>
      <c r="X5" s="73" t="s">
        <v>70</v>
      </c>
      <c r="Y5" s="75" t="s">
        <v>0</v>
      </c>
      <c r="Z5" s="68" t="s">
        <v>11</v>
      </c>
      <c r="AA5" s="71" t="str">
        <f>"償却可能限度額"&amp;IF(I7=J7,"（㋑－１）","（㋑×９５％）")</f>
        <v>償却可能限度額（㋑－１）</v>
      </c>
      <c r="AD5" s="76" t="s">
        <v>19</v>
      </c>
      <c r="AE5" s="77" t="s">
        <v>51</v>
      </c>
      <c r="AF5" s="77" t="s">
        <v>58</v>
      </c>
      <c r="AG5" s="77" t="s">
        <v>32</v>
      </c>
      <c r="AH5" s="77" t="s">
        <v>6</v>
      </c>
      <c r="AI5" s="77" t="s">
        <v>58</v>
      </c>
      <c r="AJ5" s="77" t="s">
        <v>32</v>
      </c>
      <c r="AL5" s="77" t="s">
        <v>20</v>
      </c>
    </row>
    <row r="6" spans="1:38" s="6" customFormat="1" ht="14.25">
      <c r="A6" s="18"/>
      <c r="B6" s="19"/>
      <c r="C6" s="78"/>
      <c r="D6" s="78"/>
      <c r="E6" s="78"/>
      <c r="F6" s="79" t="s">
        <v>67</v>
      </c>
      <c r="G6" s="80" t="s">
        <v>42</v>
      </c>
      <c r="H6" s="81" t="s">
        <v>43</v>
      </c>
      <c r="I6" s="18"/>
      <c r="J6" s="18"/>
      <c r="K6" s="21"/>
      <c r="L6" s="18"/>
      <c r="M6" s="21"/>
      <c r="N6" s="18"/>
      <c r="O6" s="22"/>
      <c r="P6" s="23"/>
      <c r="Q6" s="23"/>
      <c r="R6" s="24"/>
      <c r="S6" s="82"/>
      <c r="T6" s="82"/>
      <c r="U6" s="82"/>
      <c r="V6" s="83"/>
      <c r="W6" s="82"/>
      <c r="X6" s="82"/>
      <c r="Y6" s="25"/>
      <c r="Z6" s="18"/>
      <c r="AA6" s="21"/>
      <c r="AD6" s="84"/>
      <c r="AE6" s="18"/>
      <c r="AF6" s="18"/>
      <c r="AG6" s="18"/>
      <c r="AH6" s="18"/>
      <c r="AI6" s="18"/>
      <c r="AJ6" s="18"/>
      <c r="AL6" s="68"/>
    </row>
    <row r="7" spans="1:38" s="5" customFormat="1" ht="30" customHeight="1">
      <c r="A7" s="85"/>
      <c r="B7" s="86">
        <v>1</v>
      </c>
      <c r="C7" s="87">
        <v>1</v>
      </c>
      <c r="D7" s="87" t="str">
        <f aca="true" t="shared" si="0" ref="D7:D16">IF(V7&gt;2018,"R ",IF(V7&gt;1988,"H ",IF(V7&lt;1989,"S ")))</f>
        <v>S </v>
      </c>
      <c r="E7" s="87">
        <f aca="true" t="shared" si="1" ref="E7:E16">IF(V7&gt;2018,V7-2018,IF(V7&gt;1988,V7-1988,IF(V7&lt;1989,V7-1925)))</f>
        <v>-1925</v>
      </c>
      <c r="F7" s="88"/>
      <c r="G7" s="89"/>
      <c r="H7" s="90"/>
      <c r="I7" s="91"/>
      <c r="J7" s="92">
        <f>-INT(-I7*IF(OR(V7&gt;=2008,AND(V7&gt;=2007,H7&gt;=4)),1,0.9))</f>
        <v>0</v>
      </c>
      <c r="K7" s="93" t="str">
        <f>IF(OR(V7&gt;=2008,AND(V7&gt;=2007,H7&gt;=4)),"定額","旧定額")</f>
        <v>旧定額</v>
      </c>
      <c r="L7" s="26" t="str">
        <f aca="true" t="shared" si="2" ref="L7:L16">C7&amp;"年目"&amp;CHAR(10)&amp;D7&amp;E7&amp;"年"</f>
        <v>1年目
S -1925年</v>
      </c>
      <c r="M7" s="94">
        <f aca="true" t="shared" si="3" ref="M7:M16">IF(ISNA(VLOOKUP($A$7,$AD$7:$AJ$23,2,0)),"",VLOOKUP($A$7,$AD$7:$AJ$23,IF(V7&lt;2009,2,5),0))</f>
      </c>
      <c r="N7" s="33">
        <f aca="true" t="shared" si="4" ref="N7:N16">IF(ISNA(VLOOKUP($A$7,$AD$7:$AJ$23,3,0)),"",VLOOKUP($A$7,$AD$7:$AJ$23,IF(V7&lt;2009,IF($K$7="旧定額",3,4),IF($K$7="旧定額",6,7)),0))</f>
      </c>
      <c r="O7" s="48">
        <f>IF(H7="",12,12-H7+1)</f>
        <v>12</v>
      </c>
      <c r="P7" s="35" t="s">
        <v>4</v>
      </c>
      <c r="Q7" s="36">
        <v>12</v>
      </c>
      <c r="R7" s="49" t="e">
        <f>-INT(-J7*N7*(O7/12))</f>
        <v>#VALUE!</v>
      </c>
      <c r="S7" s="95" t="e">
        <f aca="true" t="shared" si="5" ref="S7:S16">-INT(-$J$7*N7*(O7/12))</f>
        <v>#VALUE!</v>
      </c>
      <c r="T7" s="95" t="e">
        <f>S7</f>
        <v>#VALUE!</v>
      </c>
      <c r="U7" s="95" t="e">
        <f aca="true" t="shared" si="6" ref="U7:U16">$AA$7-T7</f>
        <v>#VALUE!</v>
      </c>
      <c r="V7" s="96">
        <f>G7+IF(F7="S",1925,IF(F7="H",1988,IF(F7="R",2018)))</f>
        <v>0</v>
      </c>
      <c r="W7" s="95">
        <v>0</v>
      </c>
      <c r="X7" s="95">
        <f>($I$7+INT(-$I$7*0.95))-SUM($W$7:W7)</f>
        <v>0</v>
      </c>
      <c r="Y7" s="50" t="e">
        <f>R7</f>
        <v>#VALUE!</v>
      </c>
      <c r="Z7" s="51" t="e">
        <f aca="true" t="shared" si="7" ref="Z7:Z16">$I$7-Y7</f>
        <v>#VALUE!</v>
      </c>
      <c r="AA7" s="97">
        <f>IF(I7=J7,-INT(-I7+1),-INT(-I7*0.95))</f>
        <v>-1</v>
      </c>
      <c r="AB7" s="41"/>
      <c r="AC7" s="41"/>
      <c r="AD7" s="51" t="s">
        <v>71</v>
      </c>
      <c r="AE7" s="98">
        <v>5</v>
      </c>
      <c r="AF7" s="99">
        <v>0.2</v>
      </c>
      <c r="AG7" s="99">
        <v>0.2</v>
      </c>
      <c r="AH7" s="98">
        <v>7</v>
      </c>
      <c r="AI7" s="99">
        <v>0.142</v>
      </c>
      <c r="AJ7" s="99">
        <v>0.143</v>
      </c>
      <c r="AL7" s="100" t="s">
        <v>72</v>
      </c>
    </row>
    <row r="8" spans="1:38" s="5" customFormat="1" ht="30" customHeight="1">
      <c r="A8" s="42"/>
      <c r="B8" s="43"/>
      <c r="C8" s="101">
        <f aca="true" t="shared" si="8" ref="C8:C17">C7+1</f>
        <v>2</v>
      </c>
      <c r="D8" s="102" t="str">
        <f t="shared" si="0"/>
        <v>S </v>
      </c>
      <c r="E8" s="102">
        <f t="shared" si="1"/>
        <v>-1924</v>
      </c>
      <c r="F8" s="103"/>
      <c r="G8" s="104"/>
      <c r="H8" s="45"/>
      <c r="I8" s="46"/>
      <c r="J8" s="46"/>
      <c r="K8" s="47"/>
      <c r="L8" s="26" t="str">
        <f t="shared" si="2"/>
        <v>2年目
S -1924年</v>
      </c>
      <c r="M8" s="94">
        <f t="shared" si="3"/>
      </c>
      <c r="N8" s="33">
        <f t="shared" si="4"/>
      </c>
      <c r="O8" s="48">
        <v>12</v>
      </c>
      <c r="P8" s="35" t="s">
        <v>4</v>
      </c>
      <c r="Q8" s="36">
        <v>12</v>
      </c>
      <c r="R8" s="49" t="e">
        <f aca="true" t="shared" si="9" ref="R8:R17">IF(U8&gt;0,S8,IF(U7&gt;0,U7,0))+IF($I$7=$J$7,0,IF(X8&gt;0,W8,IF(X7&gt;0,X7-1,0)))</f>
        <v>#VALUE!</v>
      </c>
      <c r="S8" s="95" t="e">
        <f t="shared" si="5"/>
        <v>#VALUE!</v>
      </c>
      <c r="T8" s="95" t="e">
        <f aca="true" t="shared" si="10" ref="T8:T17">T7+S8</f>
        <v>#VALUE!</v>
      </c>
      <c r="U8" s="95" t="e">
        <f t="shared" si="6"/>
        <v>#VALUE!</v>
      </c>
      <c r="V8" s="105">
        <f aca="true" t="shared" si="11" ref="V8:V17">V7+1</f>
        <v>1</v>
      </c>
      <c r="W8" s="95" t="e">
        <f aca="true" t="shared" si="12" ref="W8:W17">IF(AND(U7&lt;0,V8&gt;=2008),-INT(-($I$7+INT(-$I$7*0.95)-1)/5),0)</f>
        <v>#VALUE!</v>
      </c>
      <c r="X8" s="95" t="e">
        <f>($I$7+INT(-$I$7*0.95))-SUM($W$7:W8)</f>
        <v>#VALUE!</v>
      </c>
      <c r="Y8" s="50" t="e">
        <f>SUM($R$7:R8)</f>
        <v>#VALUE!</v>
      </c>
      <c r="Z8" s="51" t="e">
        <f t="shared" si="7"/>
        <v>#VALUE!</v>
      </c>
      <c r="AA8" s="52"/>
      <c r="AB8" s="41"/>
      <c r="AC8" s="41"/>
      <c r="AD8" s="51" t="s">
        <v>68</v>
      </c>
      <c r="AE8" s="98">
        <v>8</v>
      </c>
      <c r="AF8" s="99">
        <v>0.125</v>
      </c>
      <c r="AG8" s="99">
        <v>0.125</v>
      </c>
      <c r="AH8" s="98">
        <v>7</v>
      </c>
      <c r="AI8" s="99">
        <v>0.142</v>
      </c>
      <c r="AJ8" s="99">
        <v>0.143</v>
      </c>
      <c r="AL8" s="100" t="s">
        <v>24</v>
      </c>
    </row>
    <row r="9" spans="1:38" s="5" customFormat="1" ht="30" customHeight="1">
      <c r="A9" s="42"/>
      <c r="B9" s="43"/>
      <c r="C9" s="101">
        <f t="shared" si="8"/>
        <v>3</v>
      </c>
      <c r="D9" s="102" t="str">
        <f t="shared" si="0"/>
        <v>S </v>
      </c>
      <c r="E9" s="102">
        <f t="shared" si="1"/>
        <v>-1923</v>
      </c>
      <c r="F9" s="103"/>
      <c r="G9" s="104"/>
      <c r="H9" s="45"/>
      <c r="I9" s="46"/>
      <c r="J9" s="46"/>
      <c r="K9" s="47"/>
      <c r="L9" s="26" t="str">
        <f t="shared" si="2"/>
        <v>3年目
S -1923年</v>
      </c>
      <c r="M9" s="94">
        <f t="shared" si="3"/>
      </c>
      <c r="N9" s="33">
        <f t="shared" si="4"/>
      </c>
      <c r="O9" s="48">
        <v>12</v>
      </c>
      <c r="P9" s="35" t="s">
        <v>4</v>
      </c>
      <c r="Q9" s="36">
        <v>12</v>
      </c>
      <c r="R9" s="49" t="e">
        <f t="shared" si="9"/>
        <v>#VALUE!</v>
      </c>
      <c r="S9" s="95" t="e">
        <f t="shared" si="5"/>
        <v>#VALUE!</v>
      </c>
      <c r="T9" s="95" t="e">
        <f t="shared" si="10"/>
        <v>#VALUE!</v>
      </c>
      <c r="U9" s="95" t="e">
        <f t="shared" si="6"/>
        <v>#VALUE!</v>
      </c>
      <c r="V9" s="105">
        <f t="shared" si="11"/>
        <v>2</v>
      </c>
      <c r="W9" s="95" t="e">
        <f t="shared" si="12"/>
        <v>#VALUE!</v>
      </c>
      <c r="X9" s="95" t="e">
        <f>($I$7+INT(-$I$7*0.95))-SUM($W$7:W9)</f>
        <v>#VALUE!</v>
      </c>
      <c r="Y9" s="50" t="e">
        <f>SUM($R$7:R9)</f>
        <v>#VALUE!</v>
      </c>
      <c r="Z9" s="51" t="e">
        <f t="shared" si="7"/>
        <v>#VALUE!</v>
      </c>
      <c r="AA9" s="52"/>
      <c r="AB9" s="41"/>
      <c r="AC9" s="41"/>
      <c r="AD9" s="51" t="s">
        <v>73</v>
      </c>
      <c r="AE9" s="98">
        <v>5</v>
      </c>
      <c r="AF9" s="99">
        <v>0.2</v>
      </c>
      <c r="AG9" s="99">
        <v>0.2</v>
      </c>
      <c r="AH9" s="98">
        <v>7</v>
      </c>
      <c r="AI9" s="99">
        <v>0.142</v>
      </c>
      <c r="AJ9" s="99">
        <v>0.143</v>
      </c>
      <c r="AL9" s="106" t="s">
        <v>76</v>
      </c>
    </row>
    <row r="10" spans="1:36" s="5" customFormat="1" ht="30" customHeight="1">
      <c r="A10" s="42"/>
      <c r="B10" s="43"/>
      <c r="C10" s="101">
        <f t="shared" si="8"/>
        <v>4</v>
      </c>
      <c r="D10" s="102" t="str">
        <f t="shared" si="0"/>
        <v>S </v>
      </c>
      <c r="E10" s="102">
        <f t="shared" si="1"/>
        <v>-1922</v>
      </c>
      <c r="F10" s="103"/>
      <c r="G10" s="104"/>
      <c r="H10" s="45"/>
      <c r="I10" s="46"/>
      <c r="J10" s="46"/>
      <c r="K10" s="47"/>
      <c r="L10" s="26" t="str">
        <f t="shared" si="2"/>
        <v>4年目
S -1922年</v>
      </c>
      <c r="M10" s="94">
        <f t="shared" si="3"/>
      </c>
      <c r="N10" s="33">
        <f t="shared" si="4"/>
      </c>
      <c r="O10" s="48">
        <v>12</v>
      </c>
      <c r="P10" s="35" t="s">
        <v>4</v>
      </c>
      <c r="Q10" s="36">
        <v>12</v>
      </c>
      <c r="R10" s="49" t="e">
        <f t="shared" si="9"/>
        <v>#VALUE!</v>
      </c>
      <c r="S10" s="95" t="e">
        <f t="shared" si="5"/>
        <v>#VALUE!</v>
      </c>
      <c r="T10" s="95" t="e">
        <f t="shared" si="10"/>
        <v>#VALUE!</v>
      </c>
      <c r="U10" s="95" t="e">
        <f t="shared" si="6"/>
        <v>#VALUE!</v>
      </c>
      <c r="V10" s="105">
        <f t="shared" si="11"/>
        <v>3</v>
      </c>
      <c r="W10" s="95" t="e">
        <f t="shared" si="12"/>
        <v>#VALUE!</v>
      </c>
      <c r="X10" s="95" t="e">
        <f>($I$7+INT(-$I$7*0.95))-SUM($W$7:W10)</f>
        <v>#VALUE!</v>
      </c>
      <c r="Y10" s="50" t="e">
        <f>SUM($R$7:R10)</f>
        <v>#VALUE!</v>
      </c>
      <c r="Z10" s="51" t="e">
        <f t="shared" si="7"/>
        <v>#VALUE!</v>
      </c>
      <c r="AA10" s="52"/>
      <c r="AB10" s="41"/>
      <c r="AC10" s="41"/>
      <c r="AD10" s="51" t="s">
        <v>45</v>
      </c>
      <c r="AE10" s="98">
        <v>5</v>
      </c>
      <c r="AF10" s="99">
        <v>0.2</v>
      </c>
      <c r="AG10" s="99">
        <v>0.2</v>
      </c>
      <c r="AH10" s="98">
        <v>7</v>
      </c>
      <c r="AI10" s="99">
        <v>0.142</v>
      </c>
      <c r="AJ10" s="99">
        <v>0.143</v>
      </c>
    </row>
    <row r="11" spans="1:36" s="5" customFormat="1" ht="30" customHeight="1">
      <c r="A11" s="42"/>
      <c r="B11" s="43"/>
      <c r="C11" s="101">
        <f t="shared" si="8"/>
        <v>5</v>
      </c>
      <c r="D11" s="102" t="str">
        <f t="shared" si="0"/>
        <v>S </v>
      </c>
      <c r="E11" s="102">
        <f t="shared" si="1"/>
        <v>-1921</v>
      </c>
      <c r="F11" s="103"/>
      <c r="G11" s="104"/>
      <c r="H11" s="45"/>
      <c r="I11" s="46"/>
      <c r="J11" s="46"/>
      <c r="K11" s="47"/>
      <c r="L11" s="26" t="str">
        <f t="shared" si="2"/>
        <v>5年目
S -1921年</v>
      </c>
      <c r="M11" s="94">
        <f t="shared" si="3"/>
      </c>
      <c r="N11" s="33">
        <f t="shared" si="4"/>
      </c>
      <c r="O11" s="48">
        <v>12</v>
      </c>
      <c r="P11" s="35" t="s">
        <v>4</v>
      </c>
      <c r="Q11" s="36">
        <v>12</v>
      </c>
      <c r="R11" s="49" t="e">
        <f t="shared" si="9"/>
        <v>#VALUE!</v>
      </c>
      <c r="S11" s="95" t="e">
        <f t="shared" si="5"/>
        <v>#VALUE!</v>
      </c>
      <c r="T11" s="95" t="e">
        <f t="shared" si="10"/>
        <v>#VALUE!</v>
      </c>
      <c r="U11" s="95" t="e">
        <f t="shared" si="6"/>
        <v>#VALUE!</v>
      </c>
      <c r="V11" s="105">
        <f t="shared" si="11"/>
        <v>4</v>
      </c>
      <c r="W11" s="95" t="e">
        <f t="shared" si="12"/>
        <v>#VALUE!</v>
      </c>
      <c r="X11" s="95" t="e">
        <f>($I$7+INT(-$I$7*0.95))-SUM($W$7:W11)</f>
        <v>#VALUE!</v>
      </c>
      <c r="Y11" s="50" t="e">
        <f>SUM($R$7:R11)</f>
        <v>#VALUE!</v>
      </c>
      <c r="Z11" s="51" t="e">
        <f t="shared" si="7"/>
        <v>#VALUE!</v>
      </c>
      <c r="AA11" s="52"/>
      <c r="AB11" s="41"/>
      <c r="AC11" s="41"/>
      <c r="AD11" s="51" t="s">
        <v>77</v>
      </c>
      <c r="AE11" s="98">
        <v>5</v>
      </c>
      <c r="AF11" s="99">
        <v>0.2</v>
      </c>
      <c r="AG11" s="99">
        <v>0.2</v>
      </c>
      <c r="AH11" s="98">
        <v>7</v>
      </c>
      <c r="AI11" s="99">
        <v>0.142</v>
      </c>
      <c r="AJ11" s="99">
        <v>0.143</v>
      </c>
    </row>
    <row r="12" spans="1:36" s="5" customFormat="1" ht="30" customHeight="1">
      <c r="A12" s="42"/>
      <c r="B12" s="43"/>
      <c r="C12" s="101">
        <f t="shared" si="8"/>
        <v>6</v>
      </c>
      <c r="D12" s="102" t="str">
        <f t="shared" si="0"/>
        <v>S </v>
      </c>
      <c r="E12" s="102">
        <f t="shared" si="1"/>
        <v>-1920</v>
      </c>
      <c r="F12" s="103"/>
      <c r="G12" s="104"/>
      <c r="H12" s="45"/>
      <c r="I12" s="46"/>
      <c r="J12" s="46"/>
      <c r="K12" s="47"/>
      <c r="L12" s="26" t="str">
        <f t="shared" si="2"/>
        <v>6年目
S -1920年</v>
      </c>
      <c r="M12" s="94">
        <f t="shared" si="3"/>
      </c>
      <c r="N12" s="33">
        <f t="shared" si="4"/>
      </c>
      <c r="O12" s="48">
        <v>12</v>
      </c>
      <c r="P12" s="35" t="s">
        <v>4</v>
      </c>
      <c r="Q12" s="36">
        <v>12</v>
      </c>
      <c r="R12" s="49" t="e">
        <f t="shared" si="9"/>
        <v>#VALUE!</v>
      </c>
      <c r="S12" s="95" t="e">
        <f t="shared" si="5"/>
        <v>#VALUE!</v>
      </c>
      <c r="T12" s="95" t="e">
        <f t="shared" si="10"/>
        <v>#VALUE!</v>
      </c>
      <c r="U12" s="95" t="e">
        <f t="shared" si="6"/>
        <v>#VALUE!</v>
      </c>
      <c r="V12" s="105">
        <f t="shared" si="11"/>
        <v>5</v>
      </c>
      <c r="W12" s="95" t="e">
        <f t="shared" si="12"/>
        <v>#VALUE!</v>
      </c>
      <c r="X12" s="95" t="e">
        <f>($I$7+INT(-$I$7*0.95))-SUM($W$7:W12)</f>
        <v>#VALUE!</v>
      </c>
      <c r="Y12" s="50" t="e">
        <f>SUM($R$7:R12)</f>
        <v>#VALUE!</v>
      </c>
      <c r="Z12" s="51" t="e">
        <f t="shared" si="7"/>
        <v>#VALUE!</v>
      </c>
      <c r="AA12" s="52"/>
      <c r="AB12" s="41"/>
      <c r="AC12" s="41"/>
      <c r="AD12" s="51" t="s">
        <v>75</v>
      </c>
      <c r="AE12" s="98">
        <v>8</v>
      </c>
      <c r="AF12" s="99">
        <v>0.125</v>
      </c>
      <c r="AG12" s="99">
        <v>0.125</v>
      </c>
      <c r="AH12" s="98">
        <v>7</v>
      </c>
      <c r="AI12" s="99">
        <v>0.142</v>
      </c>
      <c r="AJ12" s="99">
        <v>0.143</v>
      </c>
    </row>
    <row r="13" spans="1:36" s="5" customFormat="1" ht="30" customHeight="1">
      <c r="A13" s="42"/>
      <c r="B13" s="43"/>
      <c r="C13" s="101">
        <f t="shared" si="8"/>
        <v>7</v>
      </c>
      <c r="D13" s="102" t="str">
        <f t="shared" si="0"/>
        <v>S </v>
      </c>
      <c r="E13" s="102">
        <f t="shared" si="1"/>
        <v>-1919</v>
      </c>
      <c r="F13" s="103"/>
      <c r="G13" s="104"/>
      <c r="H13" s="45"/>
      <c r="I13" s="46"/>
      <c r="J13" s="46"/>
      <c r="K13" s="47"/>
      <c r="L13" s="26" t="str">
        <f t="shared" si="2"/>
        <v>7年目
S -1919年</v>
      </c>
      <c r="M13" s="94">
        <f t="shared" si="3"/>
      </c>
      <c r="N13" s="33">
        <f t="shared" si="4"/>
      </c>
      <c r="O13" s="48">
        <v>12</v>
      </c>
      <c r="P13" s="35" t="s">
        <v>4</v>
      </c>
      <c r="Q13" s="36">
        <v>12</v>
      </c>
      <c r="R13" s="49" t="e">
        <f t="shared" si="9"/>
        <v>#VALUE!</v>
      </c>
      <c r="S13" s="95" t="e">
        <f t="shared" si="5"/>
        <v>#VALUE!</v>
      </c>
      <c r="T13" s="95" t="e">
        <f t="shared" si="10"/>
        <v>#VALUE!</v>
      </c>
      <c r="U13" s="95" t="e">
        <f t="shared" si="6"/>
        <v>#VALUE!</v>
      </c>
      <c r="V13" s="105">
        <f t="shared" si="11"/>
        <v>6</v>
      </c>
      <c r="W13" s="95" t="e">
        <f t="shared" si="12"/>
        <v>#VALUE!</v>
      </c>
      <c r="X13" s="95" t="e">
        <f>($I$7+INT(-$I$7*0.95))-SUM($W$7:W13)</f>
        <v>#VALUE!</v>
      </c>
      <c r="Y13" s="50" t="e">
        <f>SUM($R$7:R13)</f>
        <v>#VALUE!</v>
      </c>
      <c r="Z13" s="51" t="e">
        <f t="shared" si="7"/>
        <v>#VALUE!</v>
      </c>
      <c r="AA13" s="52"/>
      <c r="AB13" s="41"/>
      <c r="AC13" s="41"/>
      <c r="AD13" s="51" t="s">
        <v>78</v>
      </c>
      <c r="AE13" s="98">
        <v>5</v>
      </c>
      <c r="AF13" s="99">
        <v>0.2</v>
      </c>
      <c r="AG13" s="99">
        <v>0.2</v>
      </c>
      <c r="AH13" s="98">
        <v>7</v>
      </c>
      <c r="AI13" s="99">
        <v>0.142</v>
      </c>
      <c r="AJ13" s="99">
        <v>0.143</v>
      </c>
    </row>
    <row r="14" spans="1:36" s="5" customFormat="1" ht="30" customHeight="1">
      <c r="A14" s="42"/>
      <c r="B14" s="43"/>
      <c r="C14" s="101">
        <f t="shared" si="8"/>
        <v>8</v>
      </c>
      <c r="D14" s="102" t="str">
        <f t="shared" si="0"/>
        <v>S </v>
      </c>
      <c r="E14" s="102">
        <f t="shared" si="1"/>
        <v>-1918</v>
      </c>
      <c r="F14" s="103"/>
      <c r="G14" s="104"/>
      <c r="H14" s="45"/>
      <c r="I14" s="46"/>
      <c r="J14" s="46"/>
      <c r="K14" s="47"/>
      <c r="L14" s="26" t="str">
        <f t="shared" si="2"/>
        <v>8年目
S -1918年</v>
      </c>
      <c r="M14" s="94">
        <f t="shared" si="3"/>
      </c>
      <c r="N14" s="33">
        <f t="shared" si="4"/>
      </c>
      <c r="O14" s="48">
        <v>12</v>
      </c>
      <c r="P14" s="35" t="s">
        <v>4</v>
      </c>
      <c r="Q14" s="36">
        <v>12</v>
      </c>
      <c r="R14" s="49" t="e">
        <f t="shared" si="9"/>
        <v>#VALUE!</v>
      </c>
      <c r="S14" s="95" t="e">
        <f t="shared" si="5"/>
        <v>#VALUE!</v>
      </c>
      <c r="T14" s="95" t="e">
        <f t="shared" si="10"/>
        <v>#VALUE!</v>
      </c>
      <c r="U14" s="95" t="e">
        <f t="shared" si="6"/>
        <v>#VALUE!</v>
      </c>
      <c r="V14" s="105">
        <f t="shared" si="11"/>
        <v>7</v>
      </c>
      <c r="W14" s="95" t="e">
        <f t="shared" si="12"/>
        <v>#VALUE!</v>
      </c>
      <c r="X14" s="95" t="e">
        <f>($I$7+INT(-$I$7*0.95))-SUM($W$7:W14)</f>
        <v>#VALUE!</v>
      </c>
      <c r="Y14" s="50" t="e">
        <f>SUM($R$7:R14)</f>
        <v>#VALUE!</v>
      </c>
      <c r="Z14" s="51" t="e">
        <f t="shared" si="7"/>
        <v>#VALUE!</v>
      </c>
      <c r="AA14" s="52"/>
      <c r="AB14" s="41"/>
      <c r="AC14" s="41"/>
      <c r="AD14" s="51" t="s">
        <v>80</v>
      </c>
      <c r="AE14" s="98">
        <v>8</v>
      </c>
      <c r="AF14" s="99">
        <v>0.125</v>
      </c>
      <c r="AG14" s="99">
        <v>0.125</v>
      </c>
      <c r="AH14" s="98">
        <v>7</v>
      </c>
      <c r="AI14" s="99">
        <v>0.142</v>
      </c>
      <c r="AJ14" s="99">
        <v>0.143</v>
      </c>
    </row>
    <row r="15" spans="1:36" s="5" customFormat="1" ht="30" customHeight="1">
      <c r="A15" s="42"/>
      <c r="B15" s="43"/>
      <c r="C15" s="101">
        <f t="shared" si="8"/>
        <v>9</v>
      </c>
      <c r="D15" s="102" t="str">
        <f t="shared" si="0"/>
        <v>S </v>
      </c>
      <c r="E15" s="102">
        <f t="shared" si="1"/>
        <v>-1917</v>
      </c>
      <c r="F15" s="103"/>
      <c r="G15" s="104"/>
      <c r="H15" s="45"/>
      <c r="I15" s="46"/>
      <c r="J15" s="46"/>
      <c r="K15" s="47"/>
      <c r="L15" s="26" t="str">
        <f t="shared" si="2"/>
        <v>9年目
S -1917年</v>
      </c>
      <c r="M15" s="94">
        <f t="shared" si="3"/>
      </c>
      <c r="N15" s="33">
        <f t="shared" si="4"/>
      </c>
      <c r="O15" s="48">
        <v>12</v>
      </c>
      <c r="P15" s="35" t="s">
        <v>4</v>
      </c>
      <c r="Q15" s="36">
        <v>12</v>
      </c>
      <c r="R15" s="49" t="e">
        <f t="shared" si="9"/>
        <v>#VALUE!</v>
      </c>
      <c r="S15" s="95" t="e">
        <f t="shared" si="5"/>
        <v>#VALUE!</v>
      </c>
      <c r="T15" s="95" t="e">
        <f t="shared" si="10"/>
        <v>#VALUE!</v>
      </c>
      <c r="U15" s="95" t="e">
        <f t="shared" si="6"/>
        <v>#VALUE!</v>
      </c>
      <c r="V15" s="105">
        <f t="shared" si="11"/>
        <v>8</v>
      </c>
      <c r="W15" s="95" t="e">
        <f t="shared" si="12"/>
        <v>#VALUE!</v>
      </c>
      <c r="X15" s="95" t="e">
        <f>($I$7+INT(-$I$7*0.95))-SUM($W$7:W15)</f>
        <v>#VALUE!</v>
      </c>
      <c r="Y15" s="50" t="e">
        <f>SUM($R$7:R15)</f>
        <v>#VALUE!</v>
      </c>
      <c r="Z15" s="51" t="e">
        <f t="shared" si="7"/>
        <v>#VALUE!</v>
      </c>
      <c r="AA15" s="52"/>
      <c r="AB15" s="41"/>
      <c r="AC15" s="41"/>
      <c r="AD15" s="51" t="s">
        <v>33</v>
      </c>
      <c r="AE15" s="98">
        <v>8</v>
      </c>
      <c r="AF15" s="99">
        <v>0.125</v>
      </c>
      <c r="AG15" s="99">
        <v>0.125</v>
      </c>
      <c r="AH15" s="98">
        <v>7</v>
      </c>
      <c r="AI15" s="99">
        <v>0.142</v>
      </c>
      <c r="AJ15" s="99">
        <v>0.143</v>
      </c>
    </row>
    <row r="16" spans="1:36" s="5" customFormat="1" ht="30" customHeight="1">
      <c r="A16" s="42"/>
      <c r="B16" s="43"/>
      <c r="C16" s="101">
        <f t="shared" si="8"/>
        <v>10</v>
      </c>
      <c r="D16" s="102" t="str">
        <f t="shared" si="0"/>
        <v>S </v>
      </c>
      <c r="E16" s="102">
        <f t="shared" si="1"/>
        <v>-1916</v>
      </c>
      <c r="F16" s="103"/>
      <c r="G16" s="104"/>
      <c r="H16" s="45"/>
      <c r="I16" s="46"/>
      <c r="J16" s="46"/>
      <c r="K16" s="47"/>
      <c r="L16" s="26" t="str">
        <f t="shared" si="2"/>
        <v>10年目
S -1916年</v>
      </c>
      <c r="M16" s="94">
        <f t="shared" si="3"/>
      </c>
      <c r="N16" s="33">
        <f t="shared" si="4"/>
      </c>
      <c r="O16" s="48">
        <v>12</v>
      </c>
      <c r="P16" s="35" t="s">
        <v>4</v>
      </c>
      <c r="Q16" s="36">
        <v>12</v>
      </c>
      <c r="R16" s="49" t="e">
        <f t="shared" si="9"/>
        <v>#VALUE!</v>
      </c>
      <c r="S16" s="95" t="e">
        <f t="shared" si="5"/>
        <v>#VALUE!</v>
      </c>
      <c r="T16" s="95" t="e">
        <f t="shared" si="10"/>
        <v>#VALUE!</v>
      </c>
      <c r="U16" s="95" t="e">
        <f t="shared" si="6"/>
        <v>#VALUE!</v>
      </c>
      <c r="V16" s="105">
        <f t="shared" si="11"/>
        <v>9</v>
      </c>
      <c r="W16" s="95" t="e">
        <f t="shared" si="12"/>
        <v>#VALUE!</v>
      </c>
      <c r="X16" s="95" t="e">
        <f>($I$7+INT(-$I$7*0.95))-SUM($W$7:W16)</f>
        <v>#VALUE!</v>
      </c>
      <c r="Y16" s="50" t="e">
        <f>SUM($R$7:R16)</f>
        <v>#VALUE!</v>
      </c>
      <c r="Z16" s="51" t="e">
        <f t="shared" si="7"/>
        <v>#VALUE!</v>
      </c>
      <c r="AA16" s="52"/>
      <c r="AB16" s="41"/>
      <c r="AC16" s="41"/>
      <c r="AD16" s="51" t="s">
        <v>81</v>
      </c>
      <c r="AE16" s="98">
        <v>8</v>
      </c>
      <c r="AF16" s="99">
        <v>0.125</v>
      </c>
      <c r="AG16" s="99">
        <v>0.125</v>
      </c>
      <c r="AH16" s="98">
        <v>7</v>
      </c>
      <c r="AI16" s="99">
        <v>0.142</v>
      </c>
      <c r="AJ16" s="99">
        <v>0.143</v>
      </c>
    </row>
    <row r="17" spans="1:36" s="5" customFormat="1" ht="30" customHeight="1">
      <c r="A17" s="42"/>
      <c r="B17" s="43"/>
      <c r="C17" s="101">
        <f t="shared" si="8"/>
        <v>11</v>
      </c>
      <c r="D17" s="102" t="str">
        <f aca="true" t="shared" si="13" ref="D17:D24">IF(V17&gt;2018,"R ",IF(V17&gt;1988,"H ",IF(V17&lt;1989,"S ")))</f>
        <v>S </v>
      </c>
      <c r="E17" s="102">
        <f aca="true" t="shared" si="14" ref="E17:E24">IF(V17&gt;2018,V17-2018,IF(V17&gt;1988,V17-1988,IF(V17&lt;1989,V17-1925)))</f>
        <v>-1915</v>
      </c>
      <c r="F17" s="103"/>
      <c r="G17" s="104"/>
      <c r="H17" s="45"/>
      <c r="I17" s="46"/>
      <c r="J17" s="46"/>
      <c r="K17" s="47"/>
      <c r="L17" s="26" t="str">
        <f aca="true" t="shared" si="15" ref="L17:L24">C17&amp;"年目"&amp;CHAR(10)&amp;D17&amp;E17&amp;"年"</f>
        <v>11年目
S -1915年</v>
      </c>
      <c r="M17" s="94">
        <f aca="true" t="shared" si="16" ref="M17:M24">IF(ISNA(VLOOKUP($A$7,$AD$7:$AJ$23,2,0)),"",VLOOKUP($A$7,$AD$7:$AJ$23,IF(V17&lt;2009,2,5),0))</f>
      </c>
      <c r="N17" s="33">
        <f aca="true" t="shared" si="17" ref="N17:N24">IF(ISNA(VLOOKUP($A$7,$AD$7:$AJ$23,3,0)),"",VLOOKUP($A$7,$AD$7:$AJ$23,IF(V17&lt;2009,IF($K$7="旧定額",3,4),IF($K$7="旧定額",6,7)),0))</f>
      </c>
      <c r="O17" s="48">
        <v>12</v>
      </c>
      <c r="P17" s="35" t="s">
        <v>4</v>
      </c>
      <c r="Q17" s="36">
        <v>12</v>
      </c>
      <c r="R17" s="49" t="e">
        <f t="shared" si="9"/>
        <v>#VALUE!</v>
      </c>
      <c r="S17" s="95" t="e">
        <f aca="true" t="shared" si="18" ref="S17:S24">-INT(-$J$7*N17*(O17/12))</f>
        <v>#VALUE!</v>
      </c>
      <c r="T17" s="95" t="e">
        <f t="shared" si="10"/>
        <v>#VALUE!</v>
      </c>
      <c r="U17" s="95" t="e">
        <f aca="true" t="shared" si="19" ref="U17:U24">$AA$7-T17</f>
        <v>#VALUE!</v>
      </c>
      <c r="V17" s="105">
        <f t="shared" si="11"/>
        <v>10</v>
      </c>
      <c r="W17" s="95" t="e">
        <f t="shared" si="12"/>
        <v>#VALUE!</v>
      </c>
      <c r="X17" s="95" t="e">
        <f>($I$7+INT(-$I$7*0.95))-SUM($W$7:W17)</f>
        <v>#VALUE!</v>
      </c>
      <c r="Y17" s="50" t="e">
        <f>SUM($R$7:R17)</f>
        <v>#VALUE!</v>
      </c>
      <c r="Z17" s="51" t="e">
        <f aca="true" t="shared" si="20" ref="Z17:Z24">$I$7-Y17</f>
        <v>#VALUE!</v>
      </c>
      <c r="AA17" s="52"/>
      <c r="AB17" s="41"/>
      <c r="AC17" s="41"/>
      <c r="AD17" s="51" t="s">
        <v>82</v>
      </c>
      <c r="AE17" s="98">
        <v>10</v>
      </c>
      <c r="AF17" s="99">
        <v>0.1</v>
      </c>
      <c r="AG17" s="99">
        <v>0.1</v>
      </c>
      <c r="AH17" s="98">
        <v>7</v>
      </c>
      <c r="AI17" s="99">
        <v>0.142</v>
      </c>
      <c r="AJ17" s="99">
        <v>0.143</v>
      </c>
    </row>
    <row r="18" spans="1:36" s="5" customFormat="1" ht="30" customHeight="1">
      <c r="A18" s="42"/>
      <c r="B18" s="43"/>
      <c r="C18" s="101">
        <f aca="true" t="shared" si="21" ref="C18:C24">C17+1</f>
        <v>12</v>
      </c>
      <c r="D18" s="102" t="str">
        <f t="shared" si="13"/>
        <v>S </v>
      </c>
      <c r="E18" s="102">
        <f t="shared" si="14"/>
        <v>-1914</v>
      </c>
      <c r="F18" s="103"/>
      <c r="G18" s="104"/>
      <c r="H18" s="45"/>
      <c r="I18" s="46"/>
      <c r="J18" s="46"/>
      <c r="K18" s="47"/>
      <c r="L18" s="26" t="str">
        <f t="shared" si="15"/>
        <v>12年目
S -1914年</v>
      </c>
      <c r="M18" s="94">
        <f t="shared" si="16"/>
      </c>
      <c r="N18" s="33">
        <f t="shared" si="17"/>
      </c>
      <c r="O18" s="48">
        <v>12</v>
      </c>
      <c r="P18" s="35" t="s">
        <v>4</v>
      </c>
      <c r="Q18" s="36">
        <v>12</v>
      </c>
      <c r="R18" s="49" t="e">
        <f aca="true" t="shared" si="22" ref="R18:R24">IF(U18&gt;0,S18,IF(U17&gt;0,U17,0))+IF($I$7=$J$7,0,IF(X18&gt;0,W18,IF(X17&gt;0,X17-1,0)))</f>
        <v>#VALUE!</v>
      </c>
      <c r="S18" s="95" t="e">
        <f t="shared" si="18"/>
        <v>#VALUE!</v>
      </c>
      <c r="T18" s="95" t="e">
        <f aca="true" t="shared" si="23" ref="T18:T24">T17+S18</f>
        <v>#VALUE!</v>
      </c>
      <c r="U18" s="95" t="e">
        <f t="shared" si="19"/>
        <v>#VALUE!</v>
      </c>
      <c r="V18" s="105">
        <f aca="true" t="shared" si="24" ref="V18:V24">V17+1</f>
        <v>11</v>
      </c>
      <c r="W18" s="95" t="e">
        <f aca="true" t="shared" si="25" ref="W18:W24">IF(AND(U17&lt;0,V18&gt;=2008),-INT(-($I$7+INT(-$I$7*0.95)-1)/5),0)</f>
        <v>#VALUE!</v>
      </c>
      <c r="X18" s="95" t="e">
        <f>($I$7+INT(-$I$7*0.95))-SUM($W$7:W18)</f>
        <v>#VALUE!</v>
      </c>
      <c r="Y18" s="50" t="e">
        <f>SUM($R$7:R18)</f>
        <v>#VALUE!</v>
      </c>
      <c r="Z18" s="51" t="e">
        <f t="shared" si="20"/>
        <v>#VALUE!</v>
      </c>
      <c r="AA18" s="52"/>
      <c r="AB18" s="41"/>
      <c r="AC18" s="41"/>
      <c r="AD18" s="51" t="s">
        <v>84</v>
      </c>
      <c r="AE18" s="98">
        <v>6</v>
      </c>
      <c r="AF18" s="99">
        <v>0.166</v>
      </c>
      <c r="AG18" s="99">
        <v>0.167</v>
      </c>
      <c r="AH18" s="98">
        <v>6</v>
      </c>
      <c r="AI18" s="99">
        <v>0.166</v>
      </c>
      <c r="AJ18" s="99">
        <v>0.167</v>
      </c>
    </row>
    <row r="19" spans="1:36" s="5" customFormat="1" ht="29.25" customHeight="1">
      <c r="A19" s="42"/>
      <c r="B19" s="43"/>
      <c r="C19" s="101">
        <f t="shared" si="21"/>
        <v>13</v>
      </c>
      <c r="D19" s="102" t="str">
        <f t="shared" si="13"/>
        <v>S </v>
      </c>
      <c r="E19" s="102">
        <f t="shared" si="14"/>
        <v>-1913</v>
      </c>
      <c r="F19" s="103"/>
      <c r="G19" s="104"/>
      <c r="H19" s="45"/>
      <c r="I19" s="46"/>
      <c r="J19" s="46"/>
      <c r="K19" s="47"/>
      <c r="L19" s="26" t="str">
        <f t="shared" si="15"/>
        <v>13年目
S -1913年</v>
      </c>
      <c r="M19" s="94">
        <f t="shared" si="16"/>
      </c>
      <c r="N19" s="33">
        <f t="shared" si="17"/>
      </c>
      <c r="O19" s="48">
        <v>12</v>
      </c>
      <c r="P19" s="35" t="s">
        <v>85</v>
      </c>
      <c r="Q19" s="36">
        <v>12</v>
      </c>
      <c r="R19" s="49" t="e">
        <f t="shared" si="22"/>
        <v>#VALUE!</v>
      </c>
      <c r="S19" s="95" t="e">
        <f t="shared" si="18"/>
        <v>#VALUE!</v>
      </c>
      <c r="T19" s="95" t="e">
        <f t="shared" si="23"/>
        <v>#VALUE!</v>
      </c>
      <c r="U19" s="95" t="e">
        <f t="shared" si="19"/>
        <v>#VALUE!</v>
      </c>
      <c r="V19" s="105">
        <f t="shared" si="24"/>
        <v>12</v>
      </c>
      <c r="W19" s="95" t="e">
        <f t="shared" si="25"/>
        <v>#VALUE!</v>
      </c>
      <c r="X19" s="95" t="e">
        <f>($I$7+INT(-$I$7*0.95))-SUM($W$7:W19)</f>
        <v>#VALUE!</v>
      </c>
      <c r="Y19" s="50" t="e">
        <f>SUM($R$7:R19)</f>
        <v>#VALUE!</v>
      </c>
      <c r="Z19" s="51" t="e">
        <f t="shared" si="20"/>
        <v>#VALUE!</v>
      </c>
      <c r="AA19" s="52"/>
      <c r="AB19" s="41"/>
      <c r="AC19" s="41"/>
      <c r="AD19" s="51" t="s">
        <v>86</v>
      </c>
      <c r="AE19" s="98">
        <v>4</v>
      </c>
      <c r="AF19" s="99">
        <v>0.25</v>
      </c>
      <c r="AG19" s="99">
        <v>0.25</v>
      </c>
      <c r="AH19" s="98">
        <v>4</v>
      </c>
      <c r="AI19" s="99">
        <v>0.25</v>
      </c>
      <c r="AJ19" s="99">
        <v>0.25</v>
      </c>
    </row>
    <row r="20" spans="1:36" s="5" customFormat="1" ht="29.25" customHeight="1">
      <c r="A20" s="42"/>
      <c r="B20" s="43"/>
      <c r="C20" s="101">
        <f t="shared" si="21"/>
        <v>14</v>
      </c>
      <c r="D20" s="102" t="str">
        <f t="shared" si="13"/>
        <v>S </v>
      </c>
      <c r="E20" s="102">
        <f t="shared" si="14"/>
        <v>-1912</v>
      </c>
      <c r="F20" s="103"/>
      <c r="G20" s="104"/>
      <c r="H20" s="45"/>
      <c r="I20" s="46"/>
      <c r="J20" s="46"/>
      <c r="K20" s="47"/>
      <c r="L20" s="26" t="str">
        <f t="shared" si="15"/>
        <v>14年目
S -1912年</v>
      </c>
      <c r="M20" s="94">
        <f t="shared" si="16"/>
      </c>
      <c r="N20" s="33">
        <f t="shared" si="17"/>
      </c>
      <c r="O20" s="48">
        <v>12</v>
      </c>
      <c r="P20" s="35" t="s">
        <v>85</v>
      </c>
      <c r="Q20" s="36">
        <v>12</v>
      </c>
      <c r="R20" s="49" t="e">
        <f t="shared" si="22"/>
        <v>#VALUE!</v>
      </c>
      <c r="S20" s="95" t="e">
        <f t="shared" si="18"/>
        <v>#VALUE!</v>
      </c>
      <c r="T20" s="95" t="e">
        <f t="shared" si="23"/>
        <v>#VALUE!</v>
      </c>
      <c r="U20" s="95" t="e">
        <f t="shared" si="19"/>
        <v>#VALUE!</v>
      </c>
      <c r="V20" s="105">
        <f t="shared" si="24"/>
        <v>13</v>
      </c>
      <c r="W20" s="95" t="e">
        <f t="shared" si="25"/>
        <v>#VALUE!</v>
      </c>
      <c r="X20" s="95" t="e">
        <f>($I$7+INT(-$I$7*0.95))-SUM($W$7:W20)</f>
        <v>#VALUE!</v>
      </c>
      <c r="Y20" s="50" t="e">
        <f>SUM($R$7:R20)</f>
        <v>#VALUE!</v>
      </c>
      <c r="Z20" s="51" t="e">
        <f t="shared" si="20"/>
        <v>#VALUE!</v>
      </c>
      <c r="AA20" s="52"/>
      <c r="AD20" s="51" t="s">
        <v>87</v>
      </c>
      <c r="AE20" s="98">
        <v>5</v>
      </c>
      <c r="AF20" s="99">
        <v>0.2</v>
      </c>
      <c r="AG20" s="99">
        <v>0.2</v>
      </c>
      <c r="AH20" s="98">
        <v>5</v>
      </c>
      <c r="AI20" s="99">
        <v>0.2</v>
      </c>
      <c r="AJ20" s="99">
        <v>0.2</v>
      </c>
    </row>
    <row r="21" spans="1:36" s="5" customFormat="1" ht="29.25" customHeight="1">
      <c r="A21" s="42"/>
      <c r="B21" s="43"/>
      <c r="C21" s="101">
        <f t="shared" si="21"/>
        <v>15</v>
      </c>
      <c r="D21" s="102" t="str">
        <f t="shared" si="13"/>
        <v>S </v>
      </c>
      <c r="E21" s="102">
        <f t="shared" si="14"/>
        <v>-1911</v>
      </c>
      <c r="F21" s="103"/>
      <c r="G21" s="104"/>
      <c r="H21" s="45"/>
      <c r="I21" s="46"/>
      <c r="J21" s="46"/>
      <c r="K21" s="47"/>
      <c r="L21" s="26" t="str">
        <f t="shared" si="15"/>
        <v>15年目
S -1911年</v>
      </c>
      <c r="M21" s="94">
        <f t="shared" si="16"/>
      </c>
      <c r="N21" s="33">
        <f t="shared" si="17"/>
      </c>
      <c r="O21" s="48">
        <v>12</v>
      </c>
      <c r="P21" s="35" t="s">
        <v>85</v>
      </c>
      <c r="Q21" s="36">
        <v>12</v>
      </c>
      <c r="R21" s="49" t="e">
        <f t="shared" si="22"/>
        <v>#VALUE!</v>
      </c>
      <c r="S21" s="95" t="e">
        <f t="shared" si="18"/>
        <v>#VALUE!</v>
      </c>
      <c r="T21" s="95" t="e">
        <f t="shared" si="23"/>
        <v>#VALUE!</v>
      </c>
      <c r="U21" s="95" t="e">
        <f t="shared" si="19"/>
        <v>#VALUE!</v>
      </c>
      <c r="V21" s="105">
        <f t="shared" si="24"/>
        <v>14</v>
      </c>
      <c r="W21" s="95" t="e">
        <f t="shared" si="25"/>
        <v>#VALUE!</v>
      </c>
      <c r="X21" s="95" t="e">
        <f>($I$7+INT(-$I$7*0.95))-SUM($W$7:W21)</f>
        <v>#VALUE!</v>
      </c>
      <c r="Y21" s="50" t="e">
        <f>SUM($R$7:R21)</f>
        <v>#VALUE!</v>
      </c>
      <c r="Z21" s="51" t="e">
        <f t="shared" si="20"/>
        <v>#VALUE!</v>
      </c>
      <c r="AA21" s="52"/>
      <c r="AD21" s="51" t="s">
        <v>79</v>
      </c>
      <c r="AE21" s="98">
        <v>3</v>
      </c>
      <c r="AF21" s="99">
        <v>0.333</v>
      </c>
      <c r="AG21" s="99">
        <v>0.334</v>
      </c>
      <c r="AH21" s="98">
        <v>3</v>
      </c>
      <c r="AI21" s="99">
        <v>0.333</v>
      </c>
      <c r="AJ21" s="99">
        <v>0.334</v>
      </c>
    </row>
    <row r="22" spans="1:36" s="5" customFormat="1" ht="29.25" customHeight="1">
      <c r="A22" s="42"/>
      <c r="B22" s="43"/>
      <c r="C22" s="101">
        <f t="shared" si="21"/>
        <v>16</v>
      </c>
      <c r="D22" s="102" t="str">
        <f t="shared" si="13"/>
        <v>S </v>
      </c>
      <c r="E22" s="102">
        <f t="shared" si="14"/>
        <v>-1910</v>
      </c>
      <c r="F22" s="103"/>
      <c r="G22" s="104"/>
      <c r="H22" s="45"/>
      <c r="I22" s="46"/>
      <c r="J22" s="46"/>
      <c r="K22" s="47"/>
      <c r="L22" s="26" t="str">
        <f t="shared" si="15"/>
        <v>16年目
S -1910年</v>
      </c>
      <c r="M22" s="94">
        <f t="shared" si="16"/>
      </c>
      <c r="N22" s="33">
        <f t="shared" si="17"/>
      </c>
      <c r="O22" s="48">
        <v>12</v>
      </c>
      <c r="P22" s="35" t="s">
        <v>85</v>
      </c>
      <c r="Q22" s="36">
        <v>12</v>
      </c>
      <c r="R22" s="49" t="e">
        <f t="shared" si="22"/>
        <v>#VALUE!</v>
      </c>
      <c r="S22" s="95" t="e">
        <f t="shared" si="18"/>
        <v>#VALUE!</v>
      </c>
      <c r="T22" s="95" t="e">
        <f t="shared" si="23"/>
        <v>#VALUE!</v>
      </c>
      <c r="U22" s="95" t="e">
        <f t="shared" si="19"/>
        <v>#VALUE!</v>
      </c>
      <c r="V22" s="105">
        <f t="shared" si="24"/>
        <v>15</v>
      </c>
      <c r="W22" s="95" t="e">
        <f t="shared" si="25"/>
        <v>#VALUE!</v>
      </c>
      <c r="X22" s="95" t="e">
        <f>($I$7+INT(-$I$7*0.95))-SUM($W$7:W22)</f>
        <v>#VALUE!</v>
      </c>
      <c r="Y22" s="50" t="e">
        <f>SUM($R$7:R22)</f>
        <v>#VALUE!</v>
      </c>
      <c r="Z22" s="51" t="e">
        <f t="shared" si="20"/>
        <v>#VALUE!</v>
      </c>
      <c r="AA22" s="52"/>
      <c r="AD22" s="97" t="s">
        <v>88</v>
      </c>
      <c r="AE22" s="107">
        <v>2</v>
      </c>
      <c r="AF22" s="108">
        <v>0.5</v>
      </c>
      <c r="AG22" s="108">
        <v>0.5</v>
      </c>
      <c r="AH22" s="107">
        <v>2</v>
      </c>
      <c r="AI22" s="108">
        <v>0.5</v>
      </c>
      <c r="AJ22" s="108">
        <v>0.5</v>
      </c>
    </row>
    <row r="23" spans="1:36" s="5" customFormat="1" ht="29.25" customHeight="1">
      <c r="A23" s="42"/>
      <c r="B23" s="43"/>
      <c r="C23" s="101">
        <f t="shared" si="21"/>
        <v>17</v>
      </c>
      <c r="D23" s="102" t="str">
        <f t="shared" si="13"/>
        <v>S </v>
      </c>
      <c r="E23" s="102">
        <f t="shared" si="14"/>
        <v>-1909</v>
      </c>
      <c r="F23" s="103"/>
      <c r="G23" s="104"/>
      <c r="H23" s="45"/>
      <c r="I23" s="46"/>
      <c r="J23" s="46"/>
      <c r="K23" s="47"/>
      <c r="L23" s="26" t="str">
        <f t="shared" si="15"/>
        <v>17年目
S -1909年</v>
      </c>
      <c r="M23" s="94">
        <f t="shared" si="16"/>
      </c>
      <c r="N23" s="33">
        <f t="shared" si="17"/>
      </c>
      <c r="O23" s="48">
        <v>12</v>
      </c>
      <c r="P23" s="35" t="s">
        <v>85</v>
      </c>
      <c r="Q23" s="36">
        <v>12</v>
      </c>
      <c r="R23" s="49" t="e">
        <f t="shared" si="22"/>
        <v>#VALUE!</v>
      </c>
      <c r="S23" s="95" t="e">
        <f t="shared" si="18"/>
        <v>#VALUE!</v>
      </c>
      <c r="T23" s="95" t="e">
        <f t="shared" si="23"/>
        <v>#VALUE!</v>
      </c>
      <c r="U23" s="95" t="e">
        <f t="shared" si="19"/>
        <v>#VALUE!</v>
      </c>
      <c r="V23" s="105">
        <f t="shared" si="24"/>
        <v>16</v>
      </c>
      <c r="W23" s="95" t="e">
        <f t="shared" si="25"/>
        <v>#VALUE!</v>
      </c>
      <c r="X23" s="95" t="e">
        <f>($I$7+INT(-$I$7*0.95))-SUM($W$7:W23)</f>
        <v>#VALUE!</v>
      </c>
      <c r="Y23" s="50" t="e">
        <f>SUM($R$7:R23)</f>
        <v>#VALUE!</v>
      </c>
      <c r="Z23" s="51" t="e">
        <f t="shared" si="20"/>
        <v>#VALUE!</v>
      </c>
      <c r="AA23" s="52"/>
      <c r="AD23" s="109"/>
      <c r="AE23" s="110"/>
      <c r="AF23" s="111"/>
      <c r="AG23" s="111"/>
      <c r="AH23" s="112"/>
      <c r="AI23" s="111"/>
      <c r="AJ23" s="113"/>
    </row>
    <row r="24" spans="1:36" s="5" customFormat="1" ht="29.25" customHeight="1">
      <c r="A24" s="42"/>
      <c r="B24" s="43"/>
      <c r="C24" s="101">
        <f t="shared" si="21"/>
        <v>18</v>
      </c>
      <c r="D24" s="102" t="str">
        <f t="shared" si="13"/>
        <v>S </v>
      </c>
      <c r="E24" s="102">
        <f t="shared" si="14"/>
        <v>-1908</v>
      </c>
      <c r="F24" s="103"/>
      <c r="G24" s="104"/>
      <c r="H24" s="45"/>
      <c r="I24" s="46"/>
      <c r="J24" s="46"/>
      <c r="K24" s="47"/>
      <c r="L24" s="26" t="str">
        <f t="shared" si="15"/>
        <v>18年目
S -1908年</v>
      </c>
      <c r="M24" s="94">
        <f t="shared" si="16"/>
      </c>
      <c r="N24" s="33">
        <f t="shared" si="17"/>
      </c>
      <c r="O24" s="48">
        <v>12</v>
      </c>
      <c r="P24" s="35" t="s">
        <v>85</v>
      </c>
      <c r="Q24" s="36">
        <v>12</v>
      </c>
      <c r="R24" s="53" t="e">
        <f t="shared" si="22"/>
        <v>#VALUE!</v>
      </c>
      <c r="S24" s="114" t="e">
        <f t="shared" si="18"/>
        <v>#VALUE!</v>
      </c>
      <c r="T24" s="114" t="e">
        <f t="shared" si="23"/>
        <v>#VALUE!</v>
      </c>
      <c r="U24" s="114" t="e">
        <f t="shared" si="19"/>
        <v>#VALUE!</v>
      </c>
      <c r="V24" s="115">
        <f t="shared" si="24"/>
        <v>17</v>
      </c>
      <c r="W24" s="114" t="e">
        <f t="shared" si="25"/>
        <v>#VALUE!</v>
      </c>
      <c r="X24" s="114" t="e">
        <f>($I$7+INT(-$I$7*0.95))-SUM($W$7:W24)</f>
        <v>#VALUE!</v>
      </c>
      <c r="Y24" s="50" t="e">
        <f>SUM($R$7:R24)</f>
        <v>#VALUE!</v>
      </c>
      <c r="Z24" s="51" t="e">
        <f t="shared" si="20"/>
        <v>#VALUE!</v>
      </c>
      <c r="AA24" s="54"/>
      <c r="AD24" s="116"/>
      <c r="AE24" s="117"/>
      <c r="AF24" s="118"/>
      <c r="AG24" s="118"/>
      <c r="AH24" s="117"/>
      <c r="AI24" s="118"/>
      <c r="AJ24" s="118"/>
    </row>
    <row r="25" spans="3:36" s="5" customFormat="1" ht="13.5" customHeight="1">
      <c r="C25" s="60"/>
      <c r="D25" s="61"/>
      <c r="E25" s="61"/>
      <c r="K25" s="7"/>
      <c r="N25" s="7"/>
      <c r="O25" s="8"/>
      <c r="Q25" s="9"/>
      <c r="S25" s="60"/>
      <c r="T25" s="60"/>
      <c r="U25" s="60"/>
      <c r="V25" s="62"/>
      <c r="W25" s="60"/>
      <c r="X25" s="60"/>
      <c r="AD25" s="116"/>
      <c r="AE25" s="119"/>
      <c r="AF25" s="119"/>
      <c r="AG25" s="119"/>
      <c r="AH25" s="119"/>
      <c r="AI25" s="119"/>
      <c r="AJ25" s="119"/>
    </row>
    <row r="26" spans="3:36" s="5" customFormat="1" ht="13.5" customHeight="1">
      <c r="C26" s="60"/>
      <c r="D26" s="61"/>
      <c r="E26" s="61"/>
      <c r="K26" s="7"/>
      <c r="N26" s="7"/>
      <c r="O26" s="8"/>
      <c r="Q26" s="9"/>
      <c r="S26" s="60"/>
      <c r="T26" s="60"/>
      <c r="U26" s="60"/>
      <c r="V26" s="62"/>
      <c r="W26" s="60"/>
      <c r="X26" s="60"/>
      <c r="AD26" s="116"/>
      <c r="AE26" s="119"/>
      <c r="AF26" s="119"/>
      <c r="AG26" s="119"/>
      <c r="AH26" s="119"/>
      <c r="AI26" s="119"/>
      <c r="AJ26" s="119"/>
    </row>
    <row r="27" spans="3:36" s="5" customFormat="1" ht="13.5" customHeight="1">
      <c r="C27" s="60"/>
      <c r="D27" s="61"/>
      <c r="E27" s="61"/>
      <c r="K27" s="7"/>
      <c r="N27" s="7"/>
      <c r="O27" s="8"/>
      <c r="Q27" s="9"/>
      <c r="S27" s="60"/>
      <c r="T27" s="60"/>
      <c r="U27" s="60"/>
      <c r="V27" s="62"/>
      <c r="W27" s="60"/>
      <c r="X27" s="60"/>
      <c r="AD27" s="116"/>
      <c r="AE27" s="117"/>
      <c r="AF27" s="118"/>
      <c r="AG27" s="118"/>
      <c r="AH27" s="117"/>
      <c r="AI27" s="118"/>
      <c r="AJ27" s="118"/>
    </row>
    <row r="28" spans="3:30" s="5" customFormat="1" ht="13.5" customHeight="1">
      <c r="C28" s="60"/>
      <c r="D28" s="61"/>
      <c r="E28" s="61"/>
      <c r="K28" s="7"/>
      <c r="N28" s="7"/>
      <c r="O28" s="8"/>
      <c r="Q28" s="9"/>
      <c r="S28" s="60"/>
      <c r="T28" s="60"/>
      <c r="U28" s="60"/>
      <c r="V28" s="62"/>
      <c r="W28" s="60"/>
      <c r="X28" s="60"/>
      <c r="AD28" s="63"/>
    </row>
    <row r="29" spans="30:36" ht="13.5" customHeight="1">
      <c r="AD29" s="63"/>
      <c r="AE29" s="5"/>
      <c r="AF29" s="5"/>
      <c r="AG29" s="5"/>
      <c r="AH29" s="5"/>
      <c r="AI29" s="5"/>
      <c r="AJ29" s="5"/>
    </row>
    <row r="30" spans="30:36" ht="13.5" customHeight="1">
      <c r="AD30" s="63"/>
      <c r="AE30" s="5"/>
      <c r="AF30" s="5"/>
      <c r="AG30" s="5"/>
      <c r="AH30" s="5"/>
      <c r="AI30" s="5"/>
      <c r="AJ30" s="5"/>
    </row>
    <row r="31" spans="30:36" ht="13.5" customHeight="1">
      <c r="AD31" s="63"/>
      <c r="AE31" s="5"/>
      <c r="AF31" s="5"/>
      <c r="AG31" s="5"/>
      <c r="AH31" s="5"/>
      <c r="AI31" s="5"/>
      <c r="AJ31" s="5"/>
    </row>
    <row r="32" spans="30:36" ht="13.5" customHeight="1">
      <c r="AD32" s="63"/>
      <c r="AE32" s="5"/>
      <c r="AF32" s="5"/>
      <c r="AG32" s="5"/>
      <c r="AH32" s="5"/>
      <c r="AI32" s="5"/>
      <c r="AJ32" s="5"/>
    </row>
    <row r="33" spans="30:36" ht="13.5" customHeight="1">
      <c r="AD33" s="63"/>
      <c r="AE33" s="5"/>
      <c r="AF33" s="5"/>
      <c r="AG33" s="5"/>
      <c r="AH33" s="5"/>
      <c r="AI33" s="5"/>
      <c r="AJ33" s="5"/>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sheetProtection sheet="1" selectLockedCells="1"/>
  <mergeCells count="4">
    <mergeCell ref="A1:AA1"/>
    <mergeCell ref="A2:AA2"/>
    <mergeCell ref="F5:H5"/>
    <mergeCell ref="O5:Q5"/>
  </mergeCells>
  <dataValidations count="4">
    <dataValidation type="whole" operator="greaterThanOrEqual" allowBlank="1" showErrorMessage="1" sqref="I7 G7 V7">
      <formula1>0</formula1>
    </dataValidation>
    <dataValidation type="whole" allowBlank="1" showErrorMessage="1" sqref="H7">
      <formula1>1</formula1>
      <formula2>12</formula2>
    </dataValidation>
    <dataValidation type="list" allowBlank="1" showInputMessage="1" showErrorMessage="1" sqref="F7">
      <formula1>$AL$7:$AL$9</formula1>
    </dataValidation>
    <dataValidation type="list" allowBlank="1" sqref="A7">
      <formula1>$AD$7:$AD$24</formula1>
    </dataValidation>
  </dataValidations>
  <printOptions/>
  <pageMargins left="0.3937007874015748" right="0.1968503937007874" top="0.3937007874015748" bottom="0.3937007874015748" header="0.1968503937007874" footer="0.1968503937007874"/>
  <pageSetup cellComments="asDisplayed" fitToHeight="1" fitToWidth="1" horizontalDpi="600" verticalDpi="600" orientation="landscape" paperSize="9" scale="88" r:id="rId3"/>
  <headerFooter alignWithMargins="0">
    <oddFooter>&amp;L◆このシートでは、1円未満の端数を切り上げて計算しています。</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31"/>
  <sheetViews>
    <sheetView zoomScale="75" zoomScaleNormal="75" zoomScalePageLayoutView="0" workbookViewId="0" topLeftCell="A1">
      <selection activeCell="Y15" sqref="Y15"/>
    </sheetView>
  </sheetViews>
  <sheetFormatPr defaultColWidth="9.00390625" defaultRowHeight="13.5"/>
  <cols>
    <col min="1" max="1" width="15.00390625" style="1" customWidth="1"/>
    <col min="2" max="2" width="5.00390625" style="1" customWidth="1"/>
    <col min="3" max="4" width="5.00390625" style="55" hidden="1" customWidth="1"/>
    <col min="5" max="5" width="8.50390625" style="55" hidden="1" customWidth="1"/>
    <col min="6" max="6" width="6.50390625" style="55" hidden="1" customWidth="1"/>
    <col min="7" max="8" width="5.125" style="1" customWidth="1"/>
    <col min="9" max="9" width="4.25390625" style="1" customWidth="1"/>
    <col min="10" max="11" width="14.375" style="1" customWidth="1"/>
    <col min="12" max="12" width="4.625" style="2" customWidth="1"/>
    <col min="13" max="13" width="6.625" style="1" customWidth="1"/>
    <col min="14" max="14" width="5.25390625" style="1" bestFit="1" customWidth="1"/>
    <col min="15" max="15" width="6.625" style="2" customWidth="1"/>
    <col min="16" max="16" width="3.125" style="3" customWidth="1"/>
    <col min="17" max="17" width="1.75390625" style="1" customWidth="1"/>
    <col min="18" max="18" width="3.125" style="4" customWidth="1"/>
    <col min="19" max="19" width="12.50390625" style="1" customWidth="1"/>
    <col min="20" max="22" width="14.375" style="1" customWidth="1"/>
    <col min="23" max="23" width="6.625" style="1" customWidth="1"/>
    <col min="24" max="24" width="26.75390625" style="58" bestFit="1" customWidth="1"/>
    <col min="25" max="25" width="9.625" style="1" customWidth="1"/>
    <col min="26" max="28" width="12.625" style="1" customWidth="1"/>
    <col min="29" max="29" width="6.625" style="1" customWidth="1"/>
    <col min="30" max="30" width="9.00390625" style="1" bestFit="1" customWidth="1"/>
    <col min="31" max="16384" width="9.00390625" style="1" customWidth="1"/>
  </cols>
  <sheetData>
    <row r="1" spans="1:22" ht="13.5">
      <c r="A1" s="128" t="s">
        <v>89</v>
      </c>
      <c r="B1" s="128"/>
      <c r="C1" s="128"/>
      <c r="D1" s="128"/>
      <c r="E1" s="128"/>
      <c r="F1" s="128"/>
      <c r="G1" s="128"/>
      <c r="H1" s="128"/>
      <c r="I1" s="128"/>
      <c r="J1" s="128"/>
      <c r="K1" s="128"/>
      <c r="L1" s="128"/>
      <c r="M1" s="128"/>
      <c r="N1" s="128"/>
      <c r="O1" s="128"/>
      <c r="P1" s="128"/>
      <c r="Q1" s="128"/>
      <c r="R1" s="128"/>
      <c r="S1" s="128"/>
      <c r="T1" s="128"/>
      <c r="U1" s="128"/>
      <c r="V1" s="128"/>
    </row>
    <row r="2" spans="1:24" ht="27" customHeight="1">
      <c r="A2" s="129" t="s">
        <v>90</v>
      </c>
      <c r="B2" s="129"/>
      <c r="C2" s="129"/>
      <c r="D2" s="129"/>
      <c r="E2" s="129"/>
      <c r="F2" s="129"/>
      <c r="G2" s="129"/>
      <c r="H2" s="129"/>
      <c r="I2" s="129"/>
      <c r="J2" s="129"/>
      <c r="K2" s="129"/>
      <c r="L2" s="129"/>
      <c r="M2" s="129"/>
      <c r="N2" s="129"/>
      <c r="O2" s="129"/>
      <c r="P2" s="129"/>
      <c r="Q2" s="129"/>
      <c r="R2" s="129"/>
      <c r="S2" s="129"/>
      <c r="T2" s="129"/>
      <c r="U2" s="129"/>
      <c r="V2" s="129"/>
      <c r="X2" s="59"/>
    </row>
    <row r="3" spans="1:24" s="5" customFormat="1" ht="19.5" customHeight="1">
      <c r="A3" s="5" t="s">
        <v>65</v>
      </c>
      <c r="C3" s="60" t="s">
        <v>60</v>
      </c>
      <c r="D3" s="60" t="s">
        <v>60</v>
      </c>
      <c r="E3" s="60" t="s">
        <v>60</v>
      </c>
      <c r="F3" s="60"/>
      <c r="L3" s="7"/>
      <c r="O3" s="7"/>
      <c r="P3" s="8"/>
      <c r="R3" s="9"/>
      <c r="U3" s="8"/>
      <c r="V3" s="8" t="s">
        <v>15</v>
      </c>
      <c r="X3" s="63"/>
    </row>
    <row r="4" spans="1:24" s="5" customFormat="1" ht="14.25">
      <c r="A4" s="10"/>
      <c r="B4" s="11"/>
      <c r="C4" s="64"/>
      <c r="D4" s="64"/>
      <c r="E4" s="64"/>
      <c r="F4" s="64"/>
      <c r="G4" s="11"/>
      <c r="H4" s="15"/>
      <c r="I4" s="12"/>
      <c r="J4" s="10" t="s">
        <v>8</v>
      </c>
      <c r="K4" s="10" t="s">
        <v>5</v>
      </c>
      <c r="L4" s="13"/>
      <c r="M4" s="10"/>
      <c r="N4" s="10"/>
      <c r="O4" s="10" t="s">
        <v>3</v>
      </c>
      <c r="P4" s="14" t="s">
        <v>17</v>
      </c>
      <c r="Q4" s="15"/>
      <c r="R4" s="16"/>
      <c r="S4" s="17" t="s">
        <v>16</v>
      </c>
      <c r="T4" s="12"/>
      <c r="U4" s="10" t="s">
        <v>14</v>
      </c>
      <c r="V4" s="10"/>
      <c r="X4" s="63"/>
    </row>
    <row r="5" spans="1:29" s="6" customFormat="1" ht="45.75" customHeight="1">
      <c r="A5" s="68" t="s">
        <v>19</v>
      </c>
      <c r="B5" s="69" t="s">
        <v>23</v>
      </c>
      <c r="C5" s="70" t="s">
        <v>66</v>
      </c>
      <c r="D5" s="70" t="s">
        <v>67</v>
      </c>
      <c r="E5" s="70" t="s">
        <v>12</v>
      </c>
      <c r="F5" s="70" t="s">
        <v>9</v>
      </c>
      <c r="G5" s="130" t="s">
        <v>63</v>
      </c>
      <c r="H5" s="131"/>
      <c r="I5" s="132"/>
      <c r="J5" s="68" t="s">
        <v>29</v>
      </c>
      <c r="K5" s="68" t="s">
        <v>31</v>
      </c>
      <c r="L5" s="71" t="s">
        <v>34</v>
      </c>
      <c r="M5" s="68" t="s">
        <v>18</v>
      </c>
      <c r="N5" s="71" t="s">
        <v>22</v>
      </c>
      <c r="O5" s="68" t="s">
        <v>37</v>
      </c>
      <c r="P5" s="133" t="s">
        <v>38</v>
      </c>
      <c r="Q5" s="134"/>
      <c r="R5" s="134"/>
      <c r="S5" s="72" t="s">
        <v>39</v>
      </c>
      <c r="T5" s="75" t="s">
        <v>0</v>
      </c>
      <c r="U5" s="68" t="s">
        <v>11</v>
      </c>
      <c r="V5" s="71" t="str">
        <f>"償却可能限度額"&amp;IF(J7=K7,"（㋑－１）","（㋑×９５％）")</f>
        <v>償却可能限度額（㋑－１）</v>
      </c>
      <c r="X5" s="120" t="s">
        <v>19</v>
      </c>
      <c r="Y5" s="77" t="s">
        <v>51</v>
      </c>
      <c r="Z5" s="77" t="s">
        <v>58</v>
      </c>
      <c r="AA5" s="77" t="s">
        <v>32</v>
      </c>
      <c r="AB5" s="121"/>
      <c r="AC5" s="77" t="s">
        <v>20</v>
      </c>
    </row>
    <row r="6" spans="1:29" s="6" customFormat="1" ht="14.25">
      <c r="A6" s="18"/>
      <c r="B6" s="19"/>
      <c r="C6" s="78"/>
      <c r="D6" s="78"/>
      <c r="E6" s="78"/>
      <c r="F6" s="78"/>
      <c r="G6" s="79" t="s">
        <v>67</v>
      </c>
      <c r="H6" s="80" t="s">
        <v>42</v>
      </c>
      <c r="I6" s="81" t="s">
        <v>43</v>
      </c>
      <c r="J6" s="18"/>
      <c r="K6" s="18"/>
      <c r="L6" s="21"/>
      <c r="M6" s="18"/>
      <c r="N6" s="21"/>
      <c r="O6" s="18"/>
      <c r="P6" s="22"/>
      <c r="Q6" s="23"/>
      <c r="R6" s="23"/>
      <c r="S6" s="24"/>
      <c r="T6" s="25"/>
      <c r="U6" s="18"/>
      <c r="V6" s="71"/>
      <c r="W6" s="121"/>
      <c r="X6" s="122"/>
      <c r="Y6" s="18"/>
      <c r="Z6" s="18"/>
      <c r="AA6" s="18"/>
      <c r="AB6" s="121"/>
      <c r="AC6" s="68"/>
    </row>
    <row r="7" spans="1:29" s="5" customFormat="1" ht="23.25" customHeight="1">
      <c r="A7" s="85"/>
      <c r="B7" s="86">
        <v>1</v>
      </c>
      <c r="C7" s="87">
        <v>1</v>
      </c>
      <c r="D7" s="87" t="str">
        <f aca="true" t="shared" si="0" ref="D7:D16">IF(F7&gt;2018,"R ",IF(F7&gt;1988,"H ",IF(F7&lt;1989,"S ")))</f>
        <v>S </v>
      </c>
      <c r="E7" s="87">
        <f aca="true" t="shared" si="1" ref="E7:E16">IF(F7&gt;2018,F7-2018,IF(F7&gt;1988,F7-1988,IF(F7&lt;1989,F7-1925)))</f>
        <v>-1925</v>
      </c>
      <c r="F7" s="87">
        <f>H7+IF(G7="S",1925,IF(G7="H",1988,IF(G7="R",2018)))</f>
        <v>0</v>
      </c>
      <c r="G7" s="88"/>
      <c r="H7" s="89"/>
      <c r="I7" s="90"/>
      <c r="J7" s="91"/>
      <c r="K7" s="92">
        <f>-INT(-J7*IF(OR(F7&gt;=2008,AND(F7&gt;=2007,I7&gt;=4)),1,0.9))</f>
        <v>0</v>
      </c>
      <c r="L7" s="93" t="str">
        <f>IF(OR(F7&gt;=2008,AND(F7&gt;=2007,I7&gt;=4)),"定額","旧定額")</f>
        <v>旧定額</v>
      </c>
      <c r="M7" s="26" t="str">
        <f aca="true" t="shared" si="2" ref="M7:M16">C7&amp;"年目"&amp;CHAR(10)&amp;D7&amp;E7&amp;"年"</f>
        <v>1年目
S -1925年</v>
      </c>
      <c r="N7" s="94">
        <f>IF(ISNA(VLOOKUP(A7,X7:Z19,2,0)),"",VLOOKUP(A7,X7:Z19,2,0))</f>
      </c>
      <c r="O7" s="33">
        <f>IF(ISNA(VLOOKUP(A7,X7:AA19,3,0)),"",VLOOKUP(A7,X7:AA19,IF(L7="旧定額",3,4),0))</f>
      </c>
      <c r="P7" s="48">
        <f>IF(I7="",12,12-I7+1)</f>
        <v>12</v>
      </c>
      <c r="Q7" s="35" t="s">
        <v>4</v>
      </c>
      <c r="R7" s="36">
        <v>12</v>
      </c>
      <c r="S7" s="49" t="e">
        <f>-INT(-K7*O7*(P7/12))</f>
        <v>#VALUE!</v>
      </c>
      <c r="T7" s="50" t="e">
        <f>SUM($S$7:S7)</f>
        <v>#VALUE!</v>
      </c>
      <c r="U7" s="51" t="e">
        <f aca="true" t="shared" si="3" ref="U7:U16">$J$7-T7</f>
        <v>#VALUE!</v>
      </c>
      <c r="V7" s="97">
        <f>IF(J7=K7,-INT(-J7+1),-INT(-J7*0.95))</f>
        <v>-1</v>
      </c>
      <c r="W7" s="41"/>
      <c r="X7" s="39" t="s">
        <v>7</v>
      </c>
      <c r="Y7" s="98">
        <v>15</v>
      </c>
      <c r="Z7" s="99">
        <v>0.066</v>
      </c>
      <c r="AA7" s="99">
        <v>0.067</v>
      </c>
      <c r="AB7" s="123"/>
      <c r="AC7" s="100" t="s">
        <v>72</v>
      </c>
    </row>
    <row r="8" spans="1:29" s="5" customFormat="1" ht="23.25" customHeight="1">
      <c r="A8" s="42"/>
      <c r="B8" s="43"/>
      <c r="C8" s="101">
        <f aca="true" t="shared" si="4" ref="C8:C17">C7+1</f>
        <v>2</v>
      </c>
      <c r="D8" s="101" t="str">
        <f t="shared" si="0"/>
        <v>S </v>
      </c>
      <c r="E8" s="101">
        <f t="shared" si="1"/>
        <v>-1924</v>
      </c>
      <c r="F8" s="101">
        <f aca="true" t="shared" si="5" ref="F8:F17">F7+1</f>
        <v>1</v>
      </c>
      <c r="G8" s="103"/>
      <c r="H8" s="124"/>
      <c r="I8" s="45"/>
      <c r="J8" s="46"/>
      <c r="K8" s="46"/>
      <c r="L8" s="47"/>
      <c r="M8" s="26" t="str">
        <f t="shared" si="2"/>
        <v>2年目
S -1924年</v>
      </c>
      <c r="N8" s="94">
        <f aca="true" t="shared" si="6" ref="N8:O17">N7</f>
      </c>
      <c r="O8" s="33">
        <f t="shared" si="6"/>
      </c>
      <c r="P8" s="48">
        <v>12</v>
      </c>
      <c r="Q8" s="35" t="s">
        <v>4</v>
      </c>
      <c r="R8" s="36">
        <v>12</v>
      </c>
      <c r="S8" s="49" t="e">
        <f aca="true" t="shared" si="7" ref="S8:S17">IF(T7&gt;=$V$7,IF(T7+ROUND(($J$7+INT(-$J$7*0.95)-1)/5,0)&gt;=$J$7,U7-1,-INT(-($J$7-INT($J$7*0.95)-1)/5)),IF(-INT(-$K$7*$O$7*(P8/12))&lt;($V$7-T7),-INT(-$K$7*$O$7*(P8/12)),($V$7-T7)))</f>
        <v>#VALUE!</v>
      </c>
      <c r="T8" s="50" t="e">
        <f>SUM($S$7:S8)</f>
        <v>#VALUE!</v>
      </c>
      <c r="U8" s="51" t="e">
        <f t="shared" si="3"/>
        <v>#VALUE!</v>
      </c>
      <c r="V8" s="52"/>
      <c r="W8" s="41"/>
      <c r="X8" s="39" t="s">
        <v>91</v>
      </c>
      <c r="Y8" s="98">
        <v>15</v>
      </c>
      <c r="Z8" s="99">
        <v>0.066</v>
      </c>
      <c r="AA8" s="99">
        <v>0.067</v>
      </c>
      <c r="AB8" s="123"/>
      <c r="AC8" s="100" t="s">
        <v>24</v>
      </c>
    </row>
    <row r="9" spans="1:29" s="5" customFormat="1" ht="23.25" customHeight="1">
      <c r="A9" s="42"/>
      <c r="B9" s="43"/>
      <c r="C9" s="101">
        <f t="shared" si="4"/>
        <v>3</v>
      </c>
      <c r="D9" s="101" t="str">
        <f t="shared" si="0"/>
        <v>S </v>
      </c>
      <c r="E9" s="101">
        <f t="shared" si="1"/>
        <v>-1923</v>
      </c>
      <c r="F9" s="101">
        <f t="shared" si="5"/>
        <v>2</v>
      </c>
      <c r="G9" s="103"/>
      <c r="H9" s="104"/>
      <c r="I9" s="45"/>
      <c r="J9" s="46"/>
      <c r="K9" s="46"/>
      <c r="L9" s="47"/>
      <c r="M9" s="26" t="str">
        <f t="shared" si="2"/>
        <v>3年目
S -1923年</v>
      </c>
      <c r="N9" s="94">
        <f t="shared" si="6"/>
      </c>
      <c r="O9" s="33">
        <f t="shared" si="6"/>
      </c>
      <c r="P9" s="48">
        <v>12</v>
      </c>
      <c r="Q9" s="35" t="s">
        <v>4</v>
      </c>
      <c r="R9" s="36">
        <v>12</v>
      </c>
      <c r="S9" s="49" t="e">
        <f t="shared" si="7"/>
        <v>#VALUE!</v>
      </c>
      <c r="T9" s="50" t="e">
        <f>SUM($S$7:S9)</f>
        <v>#VALUE!</v>
      </c>
      <c r="U9" s="51" t="e">
        <f t="shared" si="3"/>
        <v>#VALUE!</v>
      </c>
      <c r="V9" s="52"/>
      <c r="W9" s="41"/>
      <c r="X9" s="39" t="s">
        <v>92</v>
      </c>
      <c r="Y9" s="98">
        <v>17</v>
      </c>
      <c r="Z9" s="99">
        <v>0.058</v>
      </c>
      <c r="AA9" s="99">
        <v>0.059</v>
      </c>
      <c r="AB9" s="123"/>
      <c r="AC9" s="106" t="s">
        <v>76</v>
      </c>
    </row>
    <row r="10" spans="1:28" s="5" customFormat="1" ht="23.25" customHeight="1">
      <c r="A10" s="42"/>
      <c r="B10" s="43"/>
      <c r="C10" s="101">
        <f t="shared" si="4"/>
        <v>4</v>
      </c>
      <c r="D10" s="101" t="str">
        <f t="shared" si="0"/>
        <v>S </v>
      </c>
      <c r="E10" s="101">
        <f t="shared" si="1"/>
        <v>-1922</v>
      </c>
      <c r="F10" s="101">
        <f t="shared" si="5"/>
        <v>3</v>
      </c>
      <c r="G10" s="103"/>
      <c r="H10" s="104"/>
      <c r="I10" s="45"/>
      <c r="J10" s="46"/>
      <c r="K10" s="46"/>
      <c r="L10" s="47"/>
      <c r="M10" s="26" t="str">
        <f t="shared" si="2"/>
        <v>4年目
S -1922年</v>
      </c>
      <c r="N10" s="94">
        <f t="shared" si="6"/>
      </c>
      <c r="O10" s="33">
        <f t="shared" si="6"/>
      </c>
      <c r="P10" s="48">
        <v>12</v>
      </c>
      <c r="Q10" s="35" t="s">
        <v>4</v>
      </c>
      <c r="R10" s="36">
        <v>12</v>
      </c>
      <c r="S10" s="49" t="e">
        <f t="shared" si="7"/>
        <v>#VALUE!</v>
      </c>
      <c r="T10" s="50" t="e">
        <f>SUM($S$7:S10)</f>
        <v>#VALUE!</v>
      </c>
      <c r="U10" s="51" t="e">
        <f t="shared" si="3"/>
        <v>#VALUE!</v>
      </c>
      <c r="V10" s="52"/>
      <c r="W10" s="41"/>
      <c r="X10" s="39" t="s">
        <v>93</v>
      </c>
      <c r="Y10" s="98">
        <v>17</v>
      </c>
      <c r="Z10" s="99">
        <v>0.058</v>
      </c>
      <c r="AA10" s="99">
        <v>0.059</v>
      </c>
      <c r="AB10" s="123"/>
    </row>
    <row r="11" spans="1:28" s="5" customFormat="1" ht="23.25" customHeight="1">
      <c r="A11" s="42"/>
      <c r="B11" s="43"/>
      <c r="C11" s="101">
        <f t="shared" si="4"/>
        <v>5</v>
      </c>
      <c r="D11" s="101" t="str">
        <f t="shared" si="0"/>
        <v>S </v>
      </c>
      <c r="E11" s="101">
        <f t="shared" si="1"/>
        <v>-1921</v>
      </c>
      <c r="F11" s="101">
        <f t="shared" si="5"/>
        <v>4</v>
      </c>
      <c r="G11" s="103"/>
      <c r="H11" s="104"/>
      <c r="I11" s="45"/>
      <c r="J11" s="46"/>
      <c r="K11" s="46"/>
      <c r="L11" s="47"/>
      <c r="M11" s="26" t="str">
        <f t="shared" si="2"/>
        <v>5年目
S -1921年</v>
      </c>
      <c r="N11" s="94">
        <f t="shared" si="6"/>
      </c>
      <c r="O11" s="33">
        <f t="shared" si="6"/>
      </c>
      <c r="P11" s="48">
        <v>12</v>
      </c>
      <c r="Q11" s="35" t="s">
        <v>4</v>
      </c>
      <c r="R11" s="36">
        <v>12</v>
      </c>
      <c r="S11" s="49" t="e">
        <f t="shared" si="7"/>
        <v>#VALUE!</v>
      </c>
      <c r="T11" s="50" t="e">
        <f>SUM($S$7:S11)</f>
        <v>#VALUE!</v>
      </c>
      <c r="U11" s="51" t="e">
        <f t="shared" si="3"/>
        <v>#VALUE!</v>
      </c>
      <c r="V11" s="52"/>
      <c r="W11" s="41"/>
      <c r="X11" s="39" t="s">
        <v>13</v>
      </c>
      <c r="Y11" s="98">
        <v>17</v>
      </c>
      <c r="Z11" s="99">
        <v>0.058</v>
      </c>
      <c r="AA11" s="99">
        <v>0.059</v>
      </c>
      <c r="AB11" s="123"/>
    </row>
    <row r="12" spans="1:28" s="5" customFormat="1" ht="23.25" customHeight="1">
      <c r="A12" s="42"/>
      <c r="B12" s="43"/>
      <c r="C12" s="101">
        <f t="shared" si="4"/>
        <v>6</v>
      </c>
      <c r="D12" s="101" t="str">
        <f t="shared" si="0"/>
        <v>S </v>
      </c>
      <c r="E12" s="101">
        <f t="shared" si="1"/>
        <v>-1920</v>
      </c>
      <c r="F12" s="101">
        <f t="shared" si="5"/>
        <v>5</v>
      </c>
      <c r="G12" s="103"/>
      <c r="H12" s="104"/>
      <c r="I12" s="45"/>
      <c r="J12" s="46"/>
      <c r="K12" s="46"/>
      <c r="L12" s="47"/>
      <c r="M12" s="26" t="str">
        <f t="shared" si="2"/>
        <v>6年目
S -1920年</v>
      </c>
      <c r="N12" s="94">
        <f t="shared" si="6"/>
      </c>
      <c r="O12" s="33">
        <f t="shared" si="6"/>
      </c>
      <c r="P12" s="48">
        <v>12</v>
      </c>
      <c r="Q12" s="35" t="s">
        <v>4</v>
      </c>
      <c r="R12" s="36">
        <v>12</v>
      </c>
      <c r="S12" s="49" t="e">
        <f t="shared" si="7"/>
        <v>#VALUE!</v>
      </c>
      <c r="T12" s="50" t="e">
        <f>SUM($S$7:S12)</f>
        <v>#VALUE!</v>
      </c>
      <c r="U12" s="51" t="e">
        <f t="shared" si="3"/>
        <v>#VALUE!</v>
      </c>
      <c r="V12" s="52"/>
      <c r="W12" s="41"/>
      <c r="X12" s="39" t="s">
        <v>94</v>
      </c>
      <c r="Y12" s="98">
        <v>17</v>
      </c>
      <c r="Z12" s="99">
        <v>0.058</v>
      </c>
      <c r="AA12" s="99">
        <v>0.059</v>
      </c>
      <c r="AB12" s="123"/>
    </row>
    <row r="13" spans="1:28" s="5" customFormat="1" ht="23.25" customHeight="1">
      <c r="A13" s="42"/>
      <c r="B13" s="43"/>
      <c r="C13" s="101">
        <f t="shared" si="4"/>
        <v>7</v>
      </c>
      <c r="D13" s="101" t="str">
        <f t="shared" si="0"/>
        <v>S </v>
      </c>
      <c r="E13" s="101">
        <f t="shared" si="1"/>
        <v>-1919</v>
      </c>
      <c r="F13" s="101">
        <f t="shared" si="5"/>
        <v>6</v>
      </c>
      <c r="G13" s="103"/>
      <c r="H13" s="104"/>
      <c r="I13" s="45"/>
      <c r="J13" s="46"/>
      <c r="K13" s="46"/>
      <c r="L13" s="47"/>
      <c r="M13" s="26" t="str">
        <f t="shared" si="2"/>
        <v>7年目
S -1919年</v>
      </c>
      <c r="N13" s="94">
        <f t="shared" si="6"/>
      </c>
      <c r="O13" s="33">
        <f t="shared" si="6"/>
      </c>
      <c r="P13" s="48">
        <v>12</v>
      </c>
      <c r="Q13" s="35" t="s">
        <v>4</v>
      </c>
      <c r="R13" s="36">
        <v>12</v>
      </c>
      <c r="S13" s="49" t="e">
        <f t="shared" si="7"/>
        <v>#VALUE!</v>
      </c>
      <c r="T13" s="50" t="e">
        <f>SUM($S$7:S13)</f>
        <v>#VALUE!</v>
      </c>
      <c r="U13" s="51" t="e">
        <f t="shared" si="3"/>
        <v>#VALUE!</v>
      </c>
      <c r="V13" s="52"/>
      <c r="W13" s="41"/>
      <c r="X13" s="39" t="s">
        <v>95</v>
      </c>
      <c r="Y13" s="98">
        <v>19</v>
      </c>
      <c r="Z13" s="99">
        <v>0.052</v>
      </c>
      <c r="AA13" s="99">
        <v>0.053</v>
      </c>
      <c r="AB13" s="123"/>
    </row>
    <row r="14" spans="1:28" s="5" customFormat="1" ht="23.25" customHeight="1">
      <c r="A14" s="42"/>
      <c r="B14" s="43"/>
      <c r="C14" s="101">
        <f t="shared" si="4"/>
        <v>8</v>
      </c>
      <c r="D14" s="101" t="str">
        <f t="shared" si="0"/>
        <v>S </v>
      </c>
      <c r="E14" s="101">
        <f t="shared" si="1"/>
        <v>-1918</v>
      </c>
      <c r="F14" s="101">
        <f t="shared" si="5"/>
        <v>7</v>
      </c>
      <c r="G14" s="103"/>
      <c r="H14" s="104"/>
      <c r="I14" s="45"/>
      <c r="J14" s="46"/>
      <c r="K14" s="46"/>
      <c r="L14" s="47"/>
      <c r="M14" s="26" t="str">
        <f t="shared" si="2"/>
        <v>8年目
S -1918年</v>
      </c>
      <c r="N14" s="94">
        <f t="shared" si="6"/>
      </c>
      <c r="O14" s="33">
        <f t="shared" si="6"/>
      </c>
      <c r="P14" s="48">
        <v>12</v>
      </c>
      <c r="Q14" s="35" t="s">
        <v>4</v>
      </c>
      <c r="R14" s="36">
        <v>12</v>
      </c>
      <c r="S14" s="49" t="e">
        <f t="shared" si="7"/>
        <v>#VALUE!</v>
      </c>
      <c r="T14" s="50" t="e">
        <f>SUM($S$7:S14)</f>
        <v>#VALUE!</v>
      </c>
      <c r="U14" s="51" t="e">
        <f t="shared" si="3"/>
        <v>#VALUE!</v>
      </c>
      <c r="V14" s="52"/>
      <c r="W14" s="41"/>
      <c r="X14" s="39" t="s">
        <v>96</v>
      </c>
      <c r="Y14" s="98">
        <v>19</v>
      </c>
      <c r="Z14" s="99">
        <v>0.052</v>
      </c>
      <c r="AA14" s="99">
        <v>0.053</v>
      </c>
      <c r="AB14" s="123"/>
    </row>
    <row r="15" spans="1:28" s="5" customFormat="1" ht="23.25" customHeight="1">
      <c r="A15" s="42"/>
      <c r="B15" s="43"/>
      <c r="C15" s="101">
        <f t="shared" si="4"/>
        <v>9</v>
      </c>
      <c r="D15" s="101" t="str">
        <f t="shared" si="0"/>
        <v>S </v>
      </c>
      <c r="E15" s="101">
        <f t="shared" si="1"/>
        <v>-1917</v>
      </c>
      <c r="F15" s="101">
        <f t="shared" si="5"/>
        <v>8</v>
      </c>
      <c r="G15" s="103"/>
      <c r="H15" s="104"/>
      <c r="I15" s="45"/>
      <c r="J15" s="46"/>
      <c r="K15" s="46"/>
      <c r="L15" s="47"/>
      <c r="M15" s="26" t="str">
        <f t="shared" si="2"/>
        <v>9年目
S -1917年</v>
      </c>
      <c r="N15" s="94">
        <f t="shared" si="6"/>
      </c>
      <c r="O15" s="33">
        <f t="shared" si="6"/>
      </c>
      <c r="P15" s="48">
        <v>12</v>
      </c>
      <c r="Q15" s="35" t="s">
        <v>4</v>
      </c>
      <c r="R15" s="36">
        <v>12</v>
      </c>
      <c r="S15" s="49" t="e">
        <f t="shared" si="7"/>
        <v>#VALUE!</v>
      </c>
      <c r="T15" s="50" t="e">
        <f>SUM($S$7:S15)</f>
        <v>#VALUE!</v>
      </c>
      <c r="U15" s="51" t="e">
        <f t="shared" si="3"/>
        <v>#VALUE!</v>
      </c>
      <c r="V15" s="52"/>
      <c r="W15" s="41"/>
      <c r="X15" s="39" t="s">
        <v>97</v>
      </c>
      <c r="Y15" s="98">
        <v>38</v>
      </c>
      <c r="Z15" s="99">
        <v>0.027</v>
      </c>
      <c r="AA15" s="99">
        <v>0.027</v>
      </c>
      <c r="AB15" s="123"/>
    </row>
    <row r="16" spans="1:28" s="5" customFormat="1" ht="23.25" customHeight="1">
      <c r="A16" s="42"/>
      <c r="B16" s="43"/>
      <c r="C16" s="101">
        <f t="shared" si="4"/>
        <v>10</v>
      </c>
      <c r="D16" s="101" t="str">
        <f t="shared" si="0"/>
        <v>S </v>
      </c>
      <c r="E16" s="101">
        <f t="shared" si="1"/>
        <v>-1916</v>
      </c>
      <c r="F16" s="101">
        <f t="shared" si="5"/>
        <v>9</v>
      </c>
      <c r="G16" s="103"/>
      <c r="H16" s="104"/>
      <c r="I16" s="45"/>
      <c r="J16" s="46"/>
      <c r="K16" s="46"/>
      <c r="L16" s="47"/>
      <c r="M16" s="26" t="str">
        <f t="shared" si="2"/>
        <v>10年目
S -1916年</v>
      </c>
      <c r="N16" s="94">
        <f t="shared" si="6"/>
      </c>
      <c r="O16" s="33">
        <f t="shared" si="6"/>
      </c>
      <c r="P16" s="48">
        <v>12</v>
      </c>
      <c r="Q16" s="35" t="s">
        <v>4</v>
      </c>
      <c r="R16" s="36">
        <v>12</v>
      </c>
      <c r="S16" s="49" t="e">
        <f t="shared" si="7"/>
        <v>#VALUE!</v>
      </c>
      <c r="T16" s="50" t="e">
        <f>SUM($S$7:S16)</f>
        <v>#VALUE!</v>
      </c>
      <c r="U16" s="51" t="e">
        <f t="shared" si="3"/>
        <v>#VALUE!</v>
      </c>
      <c r="V16" s="52"/>
      <c r="W16" s="41"/>
      <c r="X16" s="39" t="s">
        <v>98</v>
      </c>
      <c r="Y16" s="98">
        <v>31</v>
      </c>
      <c r="Z16" s="99">
        <v>0.033</v>
      </c>
      <c r="AA16" s="99">
        <v>0.033</v>
      </c>
      <c r="AB16" s="123"/>
    </row>
    <row r="17" spans="1:28" s="5" customFormat="1" ht="23.25" customHeight="1">
      <c r="A17" s="42"/>
      <c r="B17" s="43"/>
      <c r="C17" s="101">
        <f t="shared" si="4"/>
        <v>11</v>
      </c>
      <c r="D17" s="101" t="str">
        <f aca="true" t="shared" si="8" ref="D17:D29">IF(F17&gt;2018,"R ",IF(F17&gt;1988,"H ",IF(F17&lt;1989,"S ")))</f>
        <v>S </v>
      </c>
      <c r="E17" s="101">
        <f aca="true" t="shared" si="9" ref="E17:E29">IF(F17&gt;2018,F17-2018,IF(F17&gt;1988,F17-1988,IF(F17&lt;1989,F17-1925)))</f>
        <v>-1915</v>
      </c>
      <c r="F17" s="101">
        <f t="shared" si="5"/>
        <v>10</v>
      </c>
      <c r="G17" s="103"/>
      <c r="H17" s="104"/>
      <c r="I17" s="45"/>
      <c r="J17" s="46"/>
      <c r="K17" s="46"/>
      <c r="L17" s="47"/>
      <c r="M17" s="26" t="str">
        <f aca="true" t="shared" si="10" ref="M17:M29">C17&amp;"年目"&amp;CHAR(10)&amp;D17&amp;E17&amp;"年"</f>
        <v>11年目
S -1915年</v>
      </c>
      <c r="N17" s="94">
        <f t="shared" si="6"/>
      </c>
      <c r="O17" s="33">
        <f t="shared" si="6"/>
      </c>
      <c r="P17" s="48">
        <v>12</v>
      </c>
      <c r="Q17" s="35" t="s">
        <v>4</v>
      </c>
      <c r="R17" s="36">
        <v>12</v>
      </c>
      <c r="S17" s="49" t="e">
        <f t="shared" si="7"/>
        <v>#VALUE!</v>
      </c>
      <c r="T17" s="50" t="e">
        <f>SUM($S$7:S17)</f>
        <v>#VALUE!</v>
      </c>
      <c r="U17" s="51" t="e">
        <f aca="true" t="shared" si="11" ref="U17:U29">$J$7-T17</f>
        <v>#VALUE!</v>
      </c>
      <c r="V17" s="52"/>
      <c r="W17" s="41"/>
      <c r="X17" s="39" t="s">
        <v>99</v>
      </c>
      <c r="Y17" s="98">
        <v>25</v>
      </c>
      <c r="Z17" s="99">
        <v>0.04</v>
      </c>
      <c r="AA17" s="99">
        <v>0.04</v>
      </c>
      <c r="AB17" s="123"/>
    </row>
    <row r="18" spans="1:28" s="5" customFormat="1" ht="23.25" customHeight="1">
      <c r="A18" s="42"/>
      <c r="B18" s="43"/>
      <c r="C18" s="101">
        <f aca="true" t="shared" si="12" ref="C18:C29">C17+1</f>
        <v>12</v>
      </c>
      <c r="D18" s="101" t="str">
        <f t="shared" si="8"/>
        <v>S </v>
      </c>
      <c r="E18" s="101">
        <f t="shared" si="9"/>
        <v>-1914</v>
      </c>
      <c r="F18" s="101">
        <f aca="true" t="shared" si="13" ref="F18:F29">F17+1</f>
        <v>11</v>
      </c>
      <c r="G18" s="103"/>
      <c r="H18" s="104"/>
      <c r="I18" s="45"/>
      <c r="J18" s="46"/>
      <c r="K18" s="46"/>
      <c r="L18" s="47"/>
      <c r="M18" s="26" t="str">
        <f t="shared" si="10"/>
        <v>12年目
S -1914年</v>
      </c>
      <c r="N18" s="94">
        <f aca="true" t="shared" si="14" ref="N18:O29">N17</f>
      </c>
      <c r="O18" s="33">
        <f t="shared" si="14"/>
      </c>
      <c r="P18" s="48">
        <v>12</v>
      </c>
      <c r="Q18" s="35" t="s">
        <v>4</v>
      </c>
      <c r="R18" s="36">
        <v>12</v>
      </c>
      <c r="S18" s="125" t="e">
        <f aca="true" t="shared" si="15" ref="S18:S29">IF(T17&gt;=$V$7,IF(T17+ROUND(($J$7+INT(-$J$7*0.95)-1)/5,0)&gt;=$J$7,U17-1,-INT(-($J$7-INT($J$7*0.95)-1)/5)),IF(-INT(-$K$7*$O$7*(P18/12))&lt;($V$7-T17),-INT(-$K$7*$O$7*(P18/12)),($V$7-T17)))</f>
        <v>#VALUE!</v>
      </c>
      <c r="T18" s="50" t="e">
        <f>SUM($S$7:S18)</f>
        <v>#VALUE!</v>
      </c>
      <c r="U18" s="51" t="e">
        <f t="shared" si="11"/>
        <v>#VALUE!</v>
      </c>
      <c r="V18" s="52"/>
      <c r="W18" s="41"/>
      <c r="X18" s="40" t="s">
        <v>100</v>
      </c>
      <c r="Y18" s="107">
        <v>24</v>
      </c>
      <c r="Z18" s="108">
        <v>0.042</v>
      </c>
      <c r="AA18" s="108">
        <v>0.042</v>
      </c>
      <c r="AB18" s="123"/>
    </row>
    <row r="19" spans="1:27" s="5" customFormat="1" ht="23.25" customHeight="1">
      <c r="A19" s="42"/>
      <c r="B19" s="43"/>
      <c r="C19" s="101">
        <f t="shared" si="12"/>
        <v>13</v>
      </c>
      <c r="D19" s="101" t="str">
        <f t="shared" si="8"/>
        <v>S </v>
      </c>
      <c r="E19" s="101">
        <f t="shared" si="9"/>
        <v>-1913</v>
      </c>
      <c r="F19" s="101">
        <f t="shared" si="13"/>
        <v>12</v>
      </c>
      <c r="G19" s="103"/>
      <c r="H19" s="104"/>
      <c r="I19" s="45"/>
      <c r="J19" s="46"/>
      <c r="K19" s="46"/>
      <c r="L19" s="47"/>
      <c r="M19" s="26" t="str">
        <f t="shared" si="10"/>
        <v>13年目
S -1913年</v>
      </c>
      <c r="N19" s="94">
        <f t="shared" si="14"/>
      </c>
      <c r="O19" s="33">
        <f t="shared" si="14"/>
      </c>
      <c r="P19" s="48">
        <v>12</v>
      </c>
      <c r="Q19" s="35" t="s">
        <v>4</v>
      </c>
      <c r="R19" s="36">
        <v>12</v>
      </c>
      <c r="S19" s="49" t="e">
        <f t="shared" si="15"/>
        <v>#VALUE!</v>
      </c>
      <c r="T19" s="50" t="e">
        <f>SUM($S$7:S19)</f>
        <v>#VALUE!</v>
      </c>
      <c r="U19" s="51" t="e">
        <f t="shared" si="11"/>
        <v>#VALUE!</v>
      </c>
      <c r="V19" s="52"/>
      <c r="W19" s="41"/>
      <c r="X19" s="109"/>
      <c r="Y19" s="112"/>
      <c r="Z19" s="111"/>
      <c r="AA19" s="113"/>
    </row>
    <row r="20" spans="1:25" s="5" customFormat="1" ht="23.25" customHeight="1">
      <c r="A20" s="42"/>
      <c r="B20" s="43"/>
      <c r="C20" s="101">
        <f t="shared" si="12"/>
        <v>14</v>
      </c>
      <c r="D20" s="101" t="str">
        <f t="shared" si="8"/>
        <v>S </v>
      </c>
      <c r="E20" s="101">
        <f t="shared" si="9"/>
        <v>-1912</v>
      </c>
      <c r="F20" s="101">
        <f t="shared" si="13"/>
        <v>13</v>
      </c>
      <c r="G20" s="103"/>
      <c r="H20" s="104"/>
      <c r="I20" s="45"/>
      <c r="J20" s="46"/>
      <c r="K20" s="46"/>
      <c r="L20" s="47"/>
      <c r="M20" s="26" t="str">
        <f t="shared" si="10"/>
        <v>14年目
S -1912年</v>
      </c>
      <c r="N20" s="94">
        <f t="shared" si="14"/>
      </c>
      <c r="O20" s="33">
        <f t="shared" si="14"/>
      </c>
      <c r="P20" s="48">
        <v>12</v>
      </c>
      <c r="Q20" s="35" t="s">
        <v>4</v>
      </c>
      <c r="R20" s="36">
        <v>12</v>
      </c>
      <c r="S20" s="49" t="e">
        <f t="shared" si="15"/>
        <v>#VALUE!</v>
      </c>
      <c r="T20" s="50" t="e">
        <f>SUM($S$7:S20)</f>
        <v>#VALUE!</v>
      </c>
      <c r="U20" s="51" t="e">
        <f t="shared" si="11"/>
        <v>#VALUE!</v>
      </c>
      <c r="V20" s="52"/>
      <c r="X20" s="126"/>
      <c r="Y20" s="41"/>
    </row>
    <row r="21" spans="1:24" s="5" customFormat="1" ht="23.25" customHeight="1">
      <c r="A21" s="42"/>
      <c r="B21" s="43"/>
      <c r="C21" s="101">
        <f t="shared" si="12"/>
        <v>15</v>
      </c>
      <c r="D21" s="101" t="str">
        <f t="shared" si="8"/>
        <v>S </v>
      </c>
      <c r="E21" s="101">
        <f t="shared" si="9"/>
        <v>-1911</v>
      </c>
      <c r="F21" s="101">
        <f t="shared" si="13"/>
        <v>14</v>
      </c>
      <c r="G21" s="103"/>
      <c r="H21" s="104"/>
      <c r="I21" s="45"/>
      <c r="J21" s="46"/>
      <c r="K21" s="46"/>
      <c r="L21" s="47"/>
      <c r="M21" s="26" t="str">
        <f t="shared" si="10"/>
        <v>15年目
S -1911年</v>
      </c>
      <c r="N21" s="94">
        <f t="shared" si="14"/>
      </c>
      <c r="O21" s="33">
        <f t="shared" si="14"/>
      </c>
      <c r="P21" s="48">
        <v>12</v>
      </c>
      <c r="Q21" s="35" t="s">
        <v>4</v>
      </c>
      <c r="R21" s="36">
        <v>12</v>
      </c>
      <c r="S21" s="49" t="e">
        <f t="shared" si="15"/>
        <v>#VALUE!</v>
      </c>
      <c r="T21" s="50" t="e">
        <f>SUM($S$7:S21)</f>
        <v>#VALUE!</v>
      </c>
      <c r="U21" s="51" t="e">
        <f t="shared" si="11"/>
        <v>#VALUE!</v>
      </c>
      <c r="V21" s="52"/>
      <c r="X21" s="63"/>
    </row>
    <row r="22" spans="1:24" s="5" customFormat="1" ht="23.25" customHeight="1">
      <c r="A22" s="42"/>
      <c r="B22" s="43"/>
      <c r="C22" s="101">
        <f t="shared" si="12"/>
        <v>16</v>
      </c>
      <c r="D22" s="101" t="str">
        <f t="shared" si="8"/>
        <v>S </v>
      </c>
      <c r="E22" s="101">
        <f t="shared" si="9"/>
        <v>-1910</v>
      </c>
      <c r="F22" s="101">
        <f t="shared" si="13"/>
        <v>15</v>
      </c>
      <c r="G22" s="103"/>
      <c r="H22" s="104"/>
      <c r="I22" s="45"/>
      <c r="J22" s="46"/>
      <c r="K22" s="46"/>
      <c r="L22" s="47"/>
      <c r="M22" s="26" t="str">
        <f t="shared" si="10"/>
        <v>16年目
S -1910年</v>
      </c>
      <c r="N22" s="94">
        <f t="shared" si="14"/>
      </c>
      <c r="O22" s="33">
        <f t="shared" si="14"/>
      </c>
      <c r="P22" s="48">
        <v>12</v>
      </c>
      <c r="Q22" s="35" t="s">
        <v>4</v>
      </c>
      <c r="R22" s="36">
        <v>12</v>
      </c>
      <c r="S22" s="49" t="e">
        <f t="shared" si="15"/>
        <v>#VALUE!</v>
      </c>
      <c r="T22" s="50" t="e">
        <f>SUM($S$7:S22)</f>
        <v>#VALUE!</v>
      </c>
      <c r="U22" s="51" t="e">
        <f t="shared" si="11"/>
        <v>#VALUE!</v>
      </c>
      <c r="V22" s="52"/>
      <c r="X22" s="63"/>
    </row>
    <row r="23" spans="1:24" s="5" customFormat="1" ht="23.25" customHeight="1">
      <c r="A23" s="42"/>
      <c r="B23" s="43"/>
      <c r="C23" s="101">
        <f t="shared" si="12"/>
        <v>17</v>
      </c>
      <c r="D23" s="101" t="str">
        <f t="shared" si="8"/>
        <v>S </v>
      </c>
      <c r="E23" s="101">
        <f t="shared" si="9"/>
        <v>-1909</v>
      </c>
      <c r="F23" s="101">
        <f t="shared" si="13"/>
        <v>16</v>
      </c>
      <c r="G23" s="103"/>
      <c r="H23" s="104"/>
      <c r="I23" s="45"/>
      <c r="J23" s="46"/>
      <c r="K23" s="46"/>
      <c r="L23" s="47"/>
      <c r="M23" s="26" t="str">
        <f t="shared" si="10"/>
        <v>17年目
S -1909年</v>
      </c>
      <c r="N23" s="94">
        <f t="shared" si="14"/>
      </c>
      <c r="O23" s="33">
        <f t="shared" si="14"/>
      </c>
      <c r="P23" s="48">
        <v>12</v>
      </c>
      <c r="Q23" s="35" t="s">
        <v>4</v>
      </c>
      <c r="R23" s="36">
        <v>12</v>
      </c>
      <c r="S23" s="49" t="e">
        <f t="shared" si="15"/>
        <v>#VALUE!</v>
      </c>
      <c r="T23" s="50" t="e">
        <f>SUM($S$7:S23)</f>
        <v>#VALUE!</v>
      </c>
      <c r="U23" s="51" t="e">
        <f t="shared" si="11"/>
        <v>#VALUE!</v>
      </c>
      <c r="V23" s="52"/>
      <c r="X23" s="63"/>
    </row>
    <row r="24" spans="1:24" s="5" customFormat="1" ht="23.25" customHeight="1">
      <c r="A24" s="42"/>
      <c r="B24" s="43"/>
      <c r="C24" s="101">
        <f t="shared" si="12"/>
        <v>18</v>
      </c>
      <c r="D24" s="101" t="str">
        <f t="shared" si="8"/>
        <v>S </v>
      </c>
      <c r="E24" s="101">
        <f t="shared" si="9"/>
        <v>-1908</v>
      </c>
      <c r="F24" s="101">
        <f t="shared" si="13"/>
        <v>17</v>
      </c>
      <c r="G24" s="103"/>
      <c r="H24" s="104"/>
      <c r="I24" s="45"/>
      <c r="J24" s="46"/>
      <c r="K24" s="46"/>
      <c r="L24" s="47"/>
      <c r="M24" s="26" t="str">
        <f t="shared" si="10"/>
        <v>18年目
S -1908年</v>
      </c>
      <c r="N24" s="94">
        <f t="shared" si="14"/>
      </c>
      <c r="O24" s="33">
        <f t="shared" si="14"/>
      </c>
      <c r="P24" s="48">
        <v>12</v>
      </c>
      <c r="Q24" s="35" t="s">
        <v>4</v>
      </c>
      <c r="R24" s="36">
        <v>12</v>
      </c>
      <c r="S24" s="49" t="e">
        <f t="shared" si="15"/>
        <v>#VALUE!</v>
      </c>
      <c r="T24" s="50" t="e">
        <f>SUM($S$7:S24)</f>
        <v>#VALUE!</v>
      </c>
      <c r="U24" s="51" t="e">
        <f t="shared" si="11"/>
        <v>#VALUE!</v>
      </c>
      <c r="V24" s="52"/>
      <c r="X24" s="63"/>
    </row>
    <row r="25" spans="1:24" s="5" customFormat="1" ht="23.25" customHeight="1">
      <c r="A25" s="42"/>
      <c r="B25" s="43"/>
      <c r="C25" s="101">
        <f t="shared" si="12"/>
        <v>19</v>
      </c>
      <c r="D25" s="101" t="str">
        <f t="shared" si="8"/>
        <v>S </v>
      </c>
      <c r="E25" s="101">
        <f t="shared" si="9"/>
        <v>-1907</v>
      </c>
      <c r="F25" s="101">
        <f t="shared" si="13"/>
        <v>18</v>
      </c>
      <c r="G25" s="103"/>
      <c r="H25" s="104"/>
      <c r="I25" s="45"/>
      <c r="J25" s="46"/>
      <c r="K25" s="46"/>
      <c r="L25" s="47"/>
      <c r="M25" s="26" t="str">
        <f t="shared" si="10"/>
        <v>19年目
S -1907年</v>
      </c>
      <c r="N25" s="94">
        <f t="shared" si="14"/>
      </c>
      <c r="O25" s="33">
        <f t="shared" si="14"/>
      </c>
      <c r="P25" s="48">
        <v>12</v>
      </c>
      <c r="Q25" s="35" t="s">
        <v>4</v>
      </c>
      <c r="R25" s="36">
        <v>12</v>
      </c>
      <c r="S25" s="49" t="e">
        <f t="shared" si="15"/>
        <v>#VALUE!</v>
      </c>
      <c r="T25" s="50" t="e">
        <f>SUM($S$7:S25)</f>
        <v>#VALUE!</v>
      </c>
      <c r="U25" s="51" t="e">
        <f t="shared" si="11"/>
        <v>#VALUE!</v>
      </c>
      <c r="V25" s="52"/>
      <c r="X25" s="63"/>
    </row>
    <row r="26" spans="1:24" s="5" customFormat="1" ht="23.25" customHeight="1">
      <c r="A26" s="42"/>
      <c r="B26" s="43"/>
      <c r="C26" s="101">
        <f t="shared" si="12"/>
        <v>20</v>
      </c>
      <c r="D26" s="101" t="str">
        <f t="shared" si="8"/>
        <v>S </v>
      </c>
      <c r="E26" s="101">
        <f t="shared" si="9"/>
        <v>-1906</v>
      </c>
      <c r="F26" s="101">
        <f t="shared" si="13"/>
        <v>19</v>
      </c>
      <c r="G26" s="103"/>
      <c r="H26" s="104"/>
      <c r="I26" s="45"/>
      <c r="J26" s="46"/>
      <c r="K26" s="46"/>
      <c r="L26" s="47"/>
      <c r="M26" s="26" t="str">
        <f t="shared" si="10"/>
        <v>20年目
S -1906年</v>
      </c>
      <c r="N26" s="94">
        <f t="shared" si="14"/>
      </c>
      <c r="O26" s="33">
        <f t="shared" si="14"/>
      </c>
      <c r="P26" s="48">
        <v>12</v>
      </c>
      <c r="Q26" s="35" t="s">
        <v>4</v>
      </c>
      <c r="R26" s="36">
        <v>12</v>
      </c>
      <c r="S26" s="49" t="e">
        <f t="shared" si="15"/>
        <v>#VALUE!</v>
      </c>
      <c r="T26" s="50" t="e">
        <f>SUM($S$7:S26)</f>
        <v>#VALUE!</v>
      </c>
      <c r="U26" s="51" t="e">
        <f t="shared" si="11"/>
        <v>#VALUE!</v>
      </c>
      <c r="V26" s="52"/>
      <c r="X26" s="63"/>
    </row>
    <row r="27" spans="1:24" s="5" customFormat="1" ht="23.25" customHeight="1">
      <c r="A27" s="42"/>
      <c r="B27" s="43"/>
      <c r="C27" s="101">
        <f t="shared" si="12"/>
        <v>21</v>
      </c>
      <c r="D27" s="101" t="str">
        <f t="shared" si="8"/>
        <v>S </v>
      </c>
      <c r="E27" s="101">
        <f t="shared" si="9"/>
        <v>-1905</v>
      </c>
      <c r="F27" s="101">
        <f t="shared" si="13"/>
        <v>20</v>
      </c>
      <c r="G27" s="103"/>
      <c r="H27" s="104"/>
      <c r="I27" s="45"/>
      <c r="J27" s="46"/>
      <c r="K27" s="46"/>
      <c r="L27" s="47"/>
      <c r="M27" s="26" t="str">
        <f t="shared" si="10"/>
        <v>21年目
S -1905年</v>
      </c>
      <c r="N27" s="94">
        <f t="shared" si="14"/>
      </c>
      <c r="O27" s="33">
        <f t="shared" si="14"/>
      </c>
      <c r="P27" s="48">
        <v>12</v>
      </c>
      <c r="Q27" s="35" t="s">
        <v>4</v>
      </c>
      <c r="R27" s="36">
        <v>12</v>
      </c>
      <c r="S27" s="49" t="e">
        <f t="shared" si="15"/>
        <v>#VALUE!</v>
      </c>
      <c r="T27" s="50" t="e">
        <f>SUM($S$7:S27)</f>
        <v>#VALUE!</v>
      </c>
      <c r="U27" s="51" t="e">
        <f t="shared" si="11"/>
        <v>#VALUE!</v>
      </c>
      <c r="V27" s="52"/>
      <c r="X27" s="63"/>
    </row>
    <row r="28" spans="1:24" s="5" customFormat="1" ht="23.25" customHeight="1">
      <c r="A28" s="42"/>
      <c r="B28" s="43"/>
      <c r="C28" s="101">
        <f t="shared" si="12"/>
        <v>22</v>
      </c>
      <c r="D28" s="101" t="str">
        <f t="shared" si="8"/>
        <v>S </v>
      </c>
      <c r="E28" s="101">
        <f t="shared" si="9"/>
        <v>-1904</v>
      </c>
      <c r="F28" s="101">
        <f t="shared" si="13"/>
        <v>21</v>
      </c>
      <c r="G28" s="103"/>
      <c r="H28" s="104"/>
      <c r="I28" s="45"/>
      <c r="J28" s="46"/>
      <c r="K28" s="46"/>
      <c r="L28" s="47"/>
      <c r="M28" s="26" t="str">
        <f t="shared" si="10"/>
        <v>22年目
S -1904年</v>
      </c>
      <c r="N28" s="94">
        <f t="shared" si="14"/>
      </c>
      <c r="O28" s="33">
        <f t="shared" si="14"/>
      </c>
      <c r="P28" s="48">
        <v>12</v>
      </c>
      <c r="Q28" s="35" t="s">
        <v>4</v>
      </c>
      <c r="R28" s="36">
        <v>12</v>
      </c>
      <c r="S28" s="49" t="e">
        <f t="shared" si="15"/>
        <v>#VALUE!</v>
      </c>
      <c r="T28" s="50" t="e">
        <f>SUM($S$7:S28)</f>
        <v>#VALUE!</v>
      </c>
      <c r="U28" s="51" t="e">
        <f t="shared" si="11"/>
        <v>#VALUE!</v>
      </c>
      <c r="V28" s="52"/>
      <c r="X28" s="63"/>
    </row>
    <row r="29" spans="1:24" s="5" customFormat="1" ht="23.25" customHeight="1">
      <c r="A29" s="42"/>
      <c r="B29" s="43"/>
      <c r="C29" s="101">
        <f t="shared" si="12"/>
        <v>23</v>
      </c>
      <c r="D29" s="101" t="str">
        <f t="shared" si="8"/>
        <v>S </v>
      </c>
      <c r="E29" s="101">
        <f t="shared" si="9"/>
        <v>-1903</v>
      </c>
      <c r="F29" s="101">
        <f t="shared" si="13"/>
        <v>22</v>
      </c>
      <c r="G29" s="103"/>
      <c r="H29" s="104"/>
      <c r="I29" s="45"/>
      <c r="J29" s="46"/>
      <c r="K29" s="46"/>
      <c r="L29" s="47"/>
      <c r="M29" s="26" t="str">
        <f t="shared" si="10"/>
        <v>23年目
S -1903年</v>
      </c>
      <c r="N29" s="94">
        <f t="shared" si="14"/>
      </c>
      <c r="O29" s="33">
        <f t="shared" si="14"/>
      </c>
      <c r="P29" s="48">
        <v>12</v>
      </c>
      <c r="Q29" s="35" t="s">
        <v>4</v>
      </c>
      <c r="R29" s="36">
        <v>12</v>
      </c>
      <c r="S29" s="53" t="e">
        <f t="shared" si="15"/>
        <v>#VALUE!</v>
      </c>
      <c r="T29" s="50" t="e">
        <f>SUM($S$7:S29)</f>
        <v>#VALUE!</v>
      </c>
      <c r="U29" s="51" t="e">
        <f t="shared" si="11"/>
        <v>#VALUE!</v>
      </c>
      <c r="V29" s="54"/>
      <c r="X29" s="63"/>
    </row>
    <row r="30" spans="3:24" s="5" customFormat="1" ht="13.5" customHeight="1">
      <c r="C30" s="60"/>
      <c r="D30" s="60"/>
      <c r="E30" s="60"/>
      <c r="F30" s="60"/>
      <c r="L30" s="7"/>
      <c r="O30" s="7"/>
      <c r="P30" s="8"/>
      <c r="R30" s="9"/>
      <c r="X30" s="63"/>
    </row>
    <row r="31" spans="24:27" ht="13.5" customHeight="1">
      <c r="X31" s="63"/>
      <c r="Y31" s="5"/>
      <c r="Z31" s="5"/>
      <c r="AA31" s="5"/>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sheetData>
  <sheetProtection selectLockedCells="1"/>
  <mergeCells count="4">
    <mergeCell ref="A1:V1"/>
    <mergeCell ref="A2:V2"/>
    <mergeCell ref="G5:I5"/>
    <mergeCell ref="P5:R5"/>
  </mergeCells>
  <dataValidations count="4">
    <dataValidation type="whole" operator="greaterThanOrEqual" allowBlank="1" showErrorMessage="1" sqref="J7 H7">
      <formula1>0</formula1>
    </dataValidation>
    <dataValidation type="whole" allowBlank="1" showErrorMessage="1" sqref="I7">
      <formula1>1</formula1>
      <formula2>12</formula2>
    </dataValidation>
    <dataValidation type="list" allowBlank="1" showInputMessage="1" showErrorMessage="1" sqref="G7">
      <formula1>$AC$7:$AC$9</formula1>
    </dataValidation>
    <dataValidation type="list" allowBlank="1" sqref="A7">
      <formula1>$X$7:$X$19</formula1>
    </dataValidation>
  </dataValidations>
  <printOptions/>
  <pageMargins left="0.3937007874015748" right="0.1968503937007874" top="0.3937007874015748" bottom="0.3937007874015748" header="0.1968503937007874" footer="0.1968503937007874"/>
  <pageSetup cellComments="asDisplayed" fitToHeight="1" fitToWidth="1" horizontalDpi="600" verticalDpi="600" orientation="landscape" paperSize="9" scale="88" r:id="rId3"/>
  <headerFooter alignWithMargins="0">
    <oddFooter>&amp;L◆このシートでは、1円未満の端数を切り上げて計算しています。</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L37"/>
  <sheetViews>
    <sheetView zoomScale="75" zoomScaleNormal="75" zoomScalePageLayoutView="0" workbookViewId="0" topLeftCell="A1">
      <selection activeCell="A7" sqref="A7"/>
    </sheetView>
  </sheetViews>
  <sheetFormatPr defaultColWidth="9.00390625" defaultRowHeight="13.5"/>
  <cols>
    <col min="1" max="1" width="15.00390625" style="1" customWidth="1"/>
    <col min="2" max="2" width="5.00390625" style="1" customWidth="1"/>
    <col min="3" max="4" width="5.00390625" style="55" hidden="1" customWidth="1"/>
    <col min="5" max="5" width="8.00390625" style="55" hidden="1" customWidth="1"/>
    <col min="6" max="7" width="5.50390625" style="1" customWidth="1"/>
    <col min="8" max="8" width="4.25390625" style="1" customWidth="1"/>
    <col min="9" max="10" width="14.375" style="1" customWidth="1"/>
    <col min="11" max="11" width="4.625" style="2" customWidth="1"/>
    <col min="12" max="12" width="6.625" style="1" customWidth="1"/>
    <col min="13" max="13" width="5.25390625" style="1" bestFit="1" customWidth="1"/>
    <col min="14" max="14" width="6.625" style="2" customWidth="1"/>
    <col min="15" max="15" width="3.125" style="3" customWidth="1"/>
    <col min="16" max="16" width="1.75390625" style="1" customWidth="1"/>
    <col min="17" max="17" width="3.125" style="4" customWidth="1"/>
    <col min="18" max="18" width="12.50390625" style="1" customWidth="1"/>
    <col min="19" max="24" width="12.50390625" style="55" hidden="1" customWidth="1"/>
    <col min="25" max="27" width="14.375" style="1" customWidth="1"/>
    <col min="28" max="28" width="6.625" style="1" customWidth="1"/>
    <col min="29" max="29" width="12.625" style="1" customWidth="1"/>
    <col min="30" max="30" width="18.75390625" style="58" customWidth="1"/>
    <col min="31" max="36" width="12.625" style="1" customWidth="1"/>
    <col min="37" max="37" width="9.00390625" style="1" bestFit="1" customWidth="1"/>
    <col min="38" max="16384" width="9.00390625" style="1" customWidth="1"/>
  </cols>
  <sheetData>
    <row r="1" spans="1:27" ht="13.5">
      <c r="A1" s="128" t="s">
        <v>83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row>
    <row r="2" spans="1:30" ht="27" customHeight="1">
      <c r="A2" s="129" t="s">
        <v>101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D2" s="59"/>
    </row>
    <row r="3" spans="1:30" s="5" customFormat="1" ht="19.5" customHeight="1">
      <c r="A3" s="5" t="s">
        <v>65</v>
      </c>
      <c r="C3" s="60" t="s">
        <v>60</v>
      </c>
      <c r="D3" s="61" t="s">
        <v>60</v>
      </c>
      <c r="E3" s="61" t="s">
        <v>60</v>
      </c>
      <c r="K3" s="7"/>
      <c r="N3" s="7"/>
      <c r="O3" s="8"/>
      <c r="Q3" s="9"/>
      <c r="S3" s="60"/>
      <c r="T3" s="60"/>
      <c r="U3" s="60"/>
      <c r="V3" s="60"/>
      <c r="W3" s="60"/>
      <c r="X3" s="60"/>
      <c r="Z3" s="8"/>
      <c r="AA3" s="8" t="s">
        <v>15</v>
      </c>
      <c r="AD3" s="63"/>
    </row>
    <row r="4" spans="1:30" s="5" customFormat="1" ht="14.25">
      <c r="A4" s="10"/>
      <c r="B4" s="11"/>
      <c r="C4" s="64"/>
      <c r="D4" s="65"/>
      <c r="E4" s="65"/>
      <c r="F4" s="11"/>
      <c r="G4" s="15"/>
      <c r="H4" s="12"/>
      <c r="I4" s="10" t="s">
        <v>8</v>
      </c>
      <c r="J4" s="10" t="s">
        <v>5</v>
      </c>
      <c r="K4" s="13"/>
      <c r="L4" s="10"/>
      <c r="M4" s="10"/>
      <c r="N4" s="10" t="s">
        <v>3</v>
      </c>
      <c r="O4" s="14" t="s">
        <v>17</v>
      </c>
      <c r="P4" s="15"/>
      <c r="Q4" s="16"/>
      <c r="R4" s="17" t="s">
        <v>16</v>
      </c>
      <c r="S4" s="66"/>
      <c r="T4" s="66"/>
      <c r="U4" s="66"/>
      <c r="V4" s="66"/>
      <c r="W4" s="66"/>
      <c r="X4" s="66"/>
      <c r="Y4" s="12"/>
      <c r="Z4" s="10" t="s">
        <v>14</v>
      </c>
      <c r="AA4" s="10"/>
      <c r="AD4" s="63"/>
    </row>
    <row r="5" spans="1:38" s="6" customFormat="1" ht="45.75" customHeight="1">
      <c r="A5" s="68" t="s">
        <v>19</v>
      </c>
      <c r="B5" s="69" t="s">
        <v>23</v>
      </c>
      <c r="C5" s="70" t="s">
        <v>66</v>
      </c>
      <c r="D5" s="70" t="s">
        <v>67</v>
      </c>
      <c r="E5" s="70" t="s">
        <v>12</v>
      </c>
      <c r="F5" s="130" t="s">
        <v>63</v>
      </c>
      <c r="G5" s="131"/>
      <c r="H5" s="135"/>
      <c r="I5" s="68" t="s">
        <v>29</v>
      </c>
      <c r="J5" s="68" t="s">
        <v>31</v>
      </c>
      <c r="K5" s="71" t="s">
        <v>34</v>
      </c>
      <c r="L5" s="68" t="s">
        <v>18</v>
      </c>
      <c r="M5" s="71" t="s">
        <v>22</v>
      </c>
      <c r="N5" s="68" t="s">
        <v>37</v>
      </c>
      <c r="O5" s="133" t="s">
        <v>38</v>
      </c>
      <c r="P5" s="134"/>
      <c r="Q5" s="134"/>
      <c r="R5" s="72" t="s">
        <v>39</v>
      </c>
      <c r="S5" s="73" t="s">
        <v>44</v>
      </c>
      <c r="T5" s="73" t="s">
        <v>27</v>
      </c>
      <c r="U5" s="73" t="s">
        <v>69</v>
      </c>
      <c r="V5" s="73" t="s">
        <v>9</v>
      </c>
      <c r="W5" s="73" t="s">
        <v>35</v>
      </c>
      <c r="X5" s="73" t="s">
        <v>70</v>
      </c>
      <c r="Y5" s="75" t="s">
        <v>0</v>
      </c>
      <c r="Z5" s="68" t="s">
        <v>11</v>
      </c>
      <c r="AA5" s="71" t="str">
        <f>"償却可能限度額"&amp;IF(I7=J7,"（㋑－１）","（㋑×９５％）")</f>
        <v>償却可能限度額（㋑－１）</v>
      </c>
      <c r="AD5" s="76" t="s">
        <v>19</v>
      </c>
      <c r="AE5" s="77" t="s">
        <v>51</v>
      </c>
      <c r="AF5" s="77" t="s">
        <v>58</v>
      </c>
      <c r="AG5" s="77" t="s">
        <v>32</v>
      </c>
      <c r="AH5" s="77" t="s">
        <v>6</v>
      </c>
      <c r="AI5" s="77" t="s">
        <v>58</v>
      </c>
      <c r="AJ5" s="77" t="s">
        <v>32</v>
      </c>
      <c r="AL5" s="77" t="s">
        <v>20</v>
      </c>
    </row>
    <row r="6" spans="1:38" s="6" customFormat="1" ht="14.25">
      <c r="A6" s="18"/>
      <c r="B6" s="19"/>
      <c r="C6" s="78"/>
      <c r="D6" s="78"/>
      <c r="E6" s="78"/>
      <c r="F6" s="79" t="s">
        <v>67</v>
      </c>
      <c r="G6" s="80" t="s">
        <v>42</v>
      </c>
      <c r="H6" s="20" t="s">
        <v>43</v>
      </c>
      <c r="I6" s="18"/>
      <c r="J6" s="18"/>
      <c r="K6" s="21"/>
      <c r="L6" s="18"/>
      <c r="M6" s="21"/>
      <c r="N6" s="18"/>
      <c r="O6" s="22"/>
      <c r="P6" s="23"/>
      <c r="Q6" s="23"/>
      <c r="R6" s="24"/>
      <c r="S6" s="82"/>
      <c r="T6" s="82"/>
      <c r="U6" s="82"/>
      <c r="V6" s="82"/>
      <c r="W6" s="82"/>
      <c r="X6" s="82"/>
      <c r="Y6" s="25"/>
      <c r="Z6" s="18"/>
      <c r="AA6" s="21"/>
      <c r="AD6" s="84"/>
      <c r="AE6" s="18"/>
      <c r="AF6" s="18"/>
      <c r="AG6" s="18"/>
      <c r="AH6" s="18"/>
      <c r="AI6" s="18"/>
      <c r="AJ6" s="18"/>
      <c r="AL6" s="68"/>
    </row>
    <row r="7" spans="1:38" s="5" customFormat="1" ht="23.25" customHeight="1">
      <c r="A7" s="85"/>
      <c r="B7" s="86">
        <v>1</v>
      </c>
      <c r="C7" s="87">
        <v>1</v>
      </c>
      <c r="D7" s="87" t="str">
        <f aca="true" t="shared" si="0" ref="D7:D16">IF(V7&gt;2018,"R ",IF(V7&gt;1988,"H ",IF(V7&lt;1989,"S ")))</f>
        <v>S </v>
      </c>
      <c r="E7" s="87">
        <f aca="true" t="shared" si="1" ref="E7:E16">IF(V7&gt;2018,V7-2018,IF(V7&gt;1988,V7-1988,IF(V7&lt;1989,V7-1925)))</f>
        <v>-1925</v>
      </c>
      <c r="F7" s="88"/>
      <c r="G7" s="89"/>
      <c r="H7" s="90"/>
      <c r="I7" s="91"/>
      <c r="J7" s="92">
        <f>-INT(-I7*IF(OR(V7&gt;=2008,AND(V7&gt;=2007,H7&gt;=4)),1,0.9))</f>
        <v>0</v>
      </c>
      <c r="K7" s="93" t="str">
        <f>IF(OR(V7&gt;=2008,AND(V7&gt;=2007,H7&gt;=4)),"定額","旧定額")</f>
        <v>旧定額</v>
      </c>
      <c r="L7" s="26" t="str">
        <f aca="true" t="shared" si="2" ref="L7:L16">C7&amp;"年目"&amp;CHAR(10)&amp;D7&amp;E7&amp;"年"</f>
        <v>1年目
S -1925年</v>
      </c>
      <c r="M7" s="94">
        <f aca="true" t="shared" si="3" ref="M7:M16">IF(ISNA(VLOOKUP($A$7,$AD$7:$AJ$27,2,0)),"",VLOOKUP($A$7,$AD$7:$AJ$27,IF(V7&lt;2009,2,5),0))</f>
      </c>
      <c r="N7" s="33">
        <f aca="true" t="shared" si="4" ref="N7:N16">IF(ISNA(VLOOKUP($A$7,$AD$7:$AJ$27,3,0)),"",VLOOKUP($A$7,$AD$7:$AJ$27,IF(V7&lt;2009,IF($K$7="旧定額",3,4),IF($K$7="旧定額",6,7)),0))</f>
      </c>
      <c r="O7" s="48">
        <f>IF(H7="",12,12-H7+1)</f>
        <v>12</v>
      </c>
      <c r="P7" s="35" t="s">
        <v>4</v>
      </c>
      <c r="Q7" s="36">
        <v>12</v>
      </c>
      <c r="R7" s="49" t="e">
        <f>-INT(-J7*N7*(O7/12))</f>
        <v>#VALUE!</v>
      </c>
      <c r="S7" s="95" t="e">
        <f aca="true" t="shared" si="5" ref="S7:S16">-INT(-$J$7*N7*(O7/12))</f>
        <v>#VALUE!</v>
      </c>
      <c r="T7" s="95" t="e">
        <f>S7</f>
        <v>#VALUE!</v>
      </c>
      <c r="U7" s="95" t="e">
        <f aca="true" t="shared" si="6" ref="U7:U16">$AA$7-T7</f>
        <v>#VALUE!</v>
      </c>
      <c r="V7" s="95">
        <f>G7+IF(F7="S",1925,IF(F7="H",1988,IF(F7="R",2018)))</f>
        <v>0</v>
      </c>
      <c r="W7" s="95">
        <v>0</v>
      </c>
      <c r="X7" s="95">
        <f>($I$7+INT(-$I$7*0.95))-SUM($W$7:W7)</f>
        <v>0</v>
      </c>
      <c r="Y7" s="50" t="e">
        <f>R7</f>
        <v>#VALUE!</v>
      </c>
      <c r="Z7" s="51" t="e">
        <f aca="true" t="shared" si="7" ref="Z7:Z16">$I$7-Y7</f>
        <v>#VALUE!</v>
      </c>
      <c r="AA7" s="97">
        <f>IF(I7=J7,-INT(-I7+1),-INT(-I7*0.95))</f>
        <v>-1</v>
      </c>
      <c r="AB7" s="41"/>
      <c r="AC7" s="41"/>
      <c r="AD7" s="51" t="s">
        <v>102</v>
      </c>
      <c r="AE7" s="98">
        <v>15</v>
      </c>
      <c r="AF7" s="99">
        <v>0.066</v>
      </c>
      <c r="AG7" s="99">
        <v>0.067</v>
      </c>
      <c r="AH7" s="98">
        <v>14</v>
      </c>
      <c r="AI7" s="99">
        <v>0.071</v>
      </c>
      <c r="AJ7" s="99">
        <v>0.072</v>
      </c>
      <c r="AL7" s="100" t="s">
        <v>72</v>
      </c>
    </row>
    <row r="8" spans="1:38" s="5" customFormat="1" ht="23.25" customHeight="1">
      <c r="A8" s="42"/>
      <c r="B8" s="43"/>
      <c r="C8" s="101">
        <f aca="true" t="shared" si="8" ref="C8:C17">C7+1</f>
        <v>2</v>
      </c>
      <c r="D8" s="101" t="str">
        <f t="shared" si="0"/>
        <v>S </v>
      </c>
      <c r="E8" s="101">
        <f t="shared" si="1"/>
        <v>-1924</v>
      </c>
      <c r="F8" s="103"/>
      <c r="G8" s="104"/>
      <c r="H8" s="45"/>
      <c r="I8" s="46"/>
      <c r="J8" s="46"/>
      <c r="K8" s="47"/>
      <c r="L8" s="26" t="str">
        <f t="shared" si="2"/>
        <v>2年目
S -1924年</v>
      </c>
      <c r="M8" s="94">
        <f t="shared" si="3"/>
      </c>
      <c r="N8" s="33">
        <f t="shared" si="4"/>
      </c>
      <c r="O8" s="48">
        <v>12</v>
      </c>
      <c r="P8" s="35" t="s">
        <v>4</v>
      </c>
      <c r="Q8" s="36">
        <v>12</v>
      </c>
      <c r="R8" s="49" t="e">
        <f aca="true" t="shared" si="9" ref="R8:R17">IF(U8&gt;0,S8,IF(U7&gt;0,U7,0))+IF($I$7=$J$7,0,IF(X8&gt;0,W8,IF(X7&gt;0,X7-1,0)))</f>
        <v>#VALUE!</v>
      </c>
      <c r="S8" s="95" t="e">
        <f t="shared" si="5"/>
        <v>#VALUE!</v>
      </c>
      <c r="T8" s="95" t="e">
        <f aca="true" t="shared" si="10" ref="T8:T17">T7+S8</f>
        <v>#VALUE!</v>
      </c>
      <c r="U8" s="95" t="e">
        <f t="shared" si="6"/>
        <v>#VALUE!</v>
      </c>
      <c r="V8" s="95">
        <f aca="true" t="shared" si="11" ref="V8:V17">V7+1</f>
        <v>1</v>
      </c>
      <c r="W8" s="95" t="e">
        <f aca="true" t="shared" si="12" ref="W8:W17">IF(AND(U7&lt;0,V8&gt;=2008),-INT(-($I$7+INT(-$I$7*0.95)-1)/5),0)</f>
        <v>#VALUE!</v>
      </c>
      <c r="X8" s="95" t="e">
        <f>($I$7+INT(-$I$7*0.95))-SUM($W$7:W8)</f>
        <v>#VALUE!</v>
      </c>
      <c r="Y8" s="50" t="e">
        <f>SUM($R$7:R8)</f>
        <v>#VALUE!</v>
      </c>
      <c r="Z8" s="51" t="e">
        <f t="shared" si="7"/>
        <v>#VALUE!</v>
      </c>
      <c r="AA8" s="52"/>
      <c r="AB8" s="41"/>
      <c r="AC8" s="41"/>
      <c r="AD8" s="51" t="s">
        <v>103</v>
      </c>
      <c r="AE8" s="98">
        <v>8</v>
      </c>
      <c r="AF8" s="99">
        <v>0.125</v>
      </c>
      <c r="AG8" s="99">
        <v>0.125</v>
      </c>
      <c r="AH8" s="98">
        <v>8</v>
      </c>
      <c r="AI8" s="99">
        <v>0.125</v>
      </c>
      <c r="AJ8" s="99">
        <v>0.125</v>
      </c>
      <c r="AL8" s="100" t="s">
        <v>24</v>
      </c>
    </row>
    <row r="9" spans="1:38" s="5" customFormat="1" ht="23.25" customHeight="1">
      <c r="A9" s="42"/>
      <c r="B9" s="43"/>
      <c r="C9" s="101">
        <f t="shared" si="8"/>
        <v>3</v>
      </c>
      <c r="D9" s="101" t="str">
        <f t="shared" si="0"/>
        <v>S </v>
      </c>
      <c r="E9" s="101">
        <f t="shared" si="1"/>
        <v>-1923</v>
      </c>
      <c r="F9" s="103"/>
      <c r="G9" s="104"/>
      <c r="H9" s="45"/>
      <c r="I9" s="46"/>
      <c r="J9" s="46"/>
      <c r="K9" s="47"/>
      <c r="L9" s="26" t="str">
        <f t="shared" si="2"/>
        <v>3年目
S -1923年</v>
      </c>
      <c r="M9" s="94">
        <f t="shared" si="3"/>
      </c>
      <c r="N9" s="33">
        <f t="shared" si="4"/>
      </c>
      <c r="O9" s="48">
        <v>12</v>
      </c>
      <c r="P9" s="35" t="s">
        <v>4</v>
      </c>
      <c r="Q9" s="36">
        <v>12</v>
      </c>
      <c r="R9" s="49" t="e">
        <f t="shared" si="9"/>
        <v>#VALUE!</v>
      </c>
      <c r="S9" s="95" t="e">
        <f t="shared" si="5"/>
        <v>#VALUE!</v>
      </c>
      <c r="T9" s="95" t="e">
        <f t="shared" si="10"/>
        <v>#VALUE!</v>
      </c>
      <c r="U9" s="95" t="e">
        <f t="shared" si="6"/>
        <v>#VALUE!</v>
      </c>
      <c r="V9" s="95">
        <f t="shared" si="11"/>
        <v>2</v>
      </c>
      <c r="W9" s="95" t="e">
        <f t="shared" si="12"/>
        <v>#VALUE!</v>
      </c>
      <c r="X9" s="95" t="e">
        <f>($I$7+INT(-$I$7*0.95))-SUM($W$7:W9)</f>
        <v>#VALUE!</v>
      </c>
      <c r="Y9" s="50" t="e">
        <f>SUM($R$7:R9)</f>
        <v>#VALUE!</v>
      </c>
      <c r="Z9" s="51" t="e">
        <f t="shared" si="7"/>
        <v>#VALUE!</v>
      </c>
      <c r="AA9" s="52"/>
      <c r="AB9" s="41"/>
      <c r="AC9" s="41"/>
      <c r="AD9" s="51" t="s">
        <v>55</v>
      </c>
      <c r="AE9" s="98">
        <v>20</v>
      </c>
      <c r="AF9" s="99">
        <v>0.05</v>
      </c>
      <c r="AG9" s="99">
        <v>0.05</v>
      </c>
      <c r="AH9" s="98">
        <v>17</v>
      </c>
      <c r="AI9" s="99">
        <v>0.058</v>
      </c>
      <c r="AJ9" s="99">
        <v>0.059</v>
      </c>
      <c r="AL9" s="106" t="s">
        <v>76</v>
      </c>
    </row>
    <row r="10" spans="1:36" s="5" customFormat="1" ht="23.25" customHeight="1">
      <c r="A10" s="42"/>
      <c r="B10" s="43"/>
      <c r="C10" s="101">
        <f t="shared" si="8"/>
        <v>4</v>
      </c>
      <c r="D10" s="101" t="str">
        <f t="shared" si="0"/>
        <v>S </v>
      </c>
      <c r="E10" s="101">
        <f t="shared" si="1"/>
        <v>-1922</v>
      </c>
      <c r="F10" s="103"/>
      <c r="G10" s="104"/>
      <c r="H10" s="45"/>
      <c r="I10" s="46"/>
      <c r="J10" s="46"/>
      <c r="K10" s="47"/>
      <c r="L10" s="26" t="str">
        <f t="shared" si="2"/>
        <v>4年目
S -1922年</v>
      </c>
      <c r="M10" s="94">
        <f t="shared" si="3"/>
      </c>
      <c r="N10" s="33">
        <f t="shared" si="4"/>
      </c>
      <c r="O10" s="48">
        <v>12</v>
      </c>
      <c r="P10" s="35" t="s">
        <v>4</v>
      </c>
      <c r="Q10" s="36">
        <v>12</v>
      </c>
      <c r="R10" s="49" t="e">
        <f t="shared" si="9"/>
        <v>#VALUE!</v>
      </c>
      <c r="S10" s="95" t="e">
        <f t="shared" si="5"/>
        <v>#VALUE!</v>
      </c>
      <c r="T10" s="95" t="e">
        <f t="shared" si="10"/>
        <v>#VALUE!</v>
      </c>
      <c r="U10" s="95" t="e">
        <f t="shared" si="6"/>
        <v>#VALUE!</v>
      </c>
      <c r="V10" s="95">
        <f t="shared" si="11"/>
        <v>3</v>
      </c>
      <c r="W10" s="95" t="e">
        <f t="shared" si="12"/>
        <v>#VALUE!</v>
      </c>
      <c r="X10" s="95" t="e">
        <f>($I$7+INT(-$I$7*0.95))-SUM($W$7:W10)</f>
        <v>#VALUE!</v>
      </c>
      <c r="Y10" s="50" t="e">
        <f>SUM($R$7:R10)</f>
        <v>#VALUE!</v>
      </c>
      <c r="Z10" s="51" t="e">
        <f t="shared" si="7"/>
        <v>#VALUE!</v>
      </c>
      <c r="AA10" s="52"/>
      <c r="AB10" s="41"/>
      <c r="AC10" s="41"/>
      <c r="AD10" s="51" t="s">
        <v>74</v>
      </c>
      <c r="AE10" s="98">
        <v>17</v>
      </c>
      <c r="AF10" s="99">
        <v>0.058</v>
      </c>
      <c r="AG10" s="99">
        <v>0.059</v>
      </c>
      <c r="AH10" s="98">
        <v>14</v>
      </c>
      <c r="AI10" s="99">
        <v>0.071</v>
      </c>
      <c r="AJ10" s="99">
        <v>0.072</v>
      </c>
    </row>
    <row r="11" spans="1:36" s="5" customFormat="1" ht="23.25" customHeight="1">
      <c r="A11" s="42"/>
      <c r="B11" s="43"/>
      <c r="C11" s="101">
        <f t="shared" si="8"/>
        <v>5</v>
      </c>
      <c r="D11" s="101" t="str">
        <f t="shared" si="0"/>
        <v>S </v>
      </c>
      <c r="E11" s="101">
        <f t="shared" si="1"/>
        <v>-1921</v>
      </c>
      <c r="F11" s="103"/>
      <c r="G11" s="104"/>
      <c r="H11" s="45"/>
      <c r="I11" s="46"/>
      <c r="J11" s="46"/>
      <c r="K11" s="47"/>
      <c r="L11" s="26" t="str">
        <f t="shared" si="2"/>
        <v>5年目
S -1921年</v>
      </c>
      <c r="M11" s="94">
        <f t="shared" si="3"/>
      </c>
      <c r="N11" s="33">
        <f t="shared" si="4"/>
      </c>
      <c r="O11" s="48">
        <v>12</v>
      </c>
      <c r="P11" s="35" t="s">
        <v>4</v>
      </c>
      <c r="Q11" s="36">
        <v>12</v>
      </c>
      <c r="R11" s="49" t="e">
        <f t="shared" si="9"/>
        <v>#VALUE!</v>
      </c>
      <c r="S11" s="95" t="e">
        <f t="shared" si="5"/>
        <v>#VALUE!</v>
      </c>
      <c r="T11" s="95" t="e">
        <f t="shared" si="10"/>
        <v>#VALUE!</v>
      </c>
      <c r="U11" s="95" t="e">
        <f t="shared" si="6"/>
        <v>#VALUE!</v>
      </c>
      <c r="V11" s="95">
        <f t="shared" si="11"/>
        <v>4</v>
      </c>
      <c r="W11" s="95" t="e">
        <f t="shared" si="12"/>
        <v>#VALUE!</v>
      </c>
      <c r="X11" s="95" t="e">
        <f>($I$7+INT(-$I$7*0.95))-SUM($W$7:W11)</f>
        <v>#VALUE!</v>
      </c>
      <c r="Y11" s="50" t="e">
        <f>SUM($R$7:R11)</f>
        <v>#VALUE!</v>
      </c>
      <c r="Z11" s="51" t="e">
        <f t="shared" si="7"/>
        <v>#VALUE!</v>
      </c>
      <c r="AA11" s="52"/>
      <c r="AB11" s="41"/>
      <c r="AC11" s="41"/>
      <c r="AD11" s="51" t="s">
        <v>104</v>
      </c>
      <c r="AE11" s="98">
        <v>17</v>
      </c>
      <c r="AF11" s="99">
        <v>0.058</v>
      </c>
      <c r="AG11" s="99">
        <v>0.059</v>
      </c>
      <c r="AH11" s="98">
        <v>17</v>
      </c>
      <c r="AI11" s="99">
        <v>0.058</v>
      </c>
      <c r="AJ11" s="99">
        <v>0.059</v>
      </c>
    </row>
    <row r="12" spans="1:36" s="5" customFormat="1" ht="23.25" customHeight="1">
      <c r="A12" s="42"/>
      <c r="B12" s="43"/>
      <c r="C12" s="101">
        <f t="shared" si="8"/>
        <v>6</v>
      </c>
      <c r="D12" s="101" t="str">
        <f t="shared" si="0"/>
        <v>S </v>
      </c>
      <c r="E12" s="101">
        <f t="shared" si="1"/>
        <v>-1920</v>
      </c>
      <c r="F12" s="103"/>
      <c r="G12" s="104"/>
      <c r="H12" s="45"/>
      <c r="I12" s="46"/>
      <c r="J12" s="46"/>
      <c r="K12" s="47"/>
      <c r="L12" s="26" t="str">
        <f t="shared" si="2"/>
        <v>6年目
S -1920年</v>
      </c>
      <c r="M12" s="94">
        <f t="shared" si="3"/>
      </c>
      <c r="N12" s="33">
        <f t="shared" si="4"/>
      </c>
      <c r="O12" s="48">
        <v>12</v>
      </c>
      <c r="P12" s="35" t="s">
        <v>4</v>
      </c>
      <c r="Q12" s="36">
        <v>12</v>
      </c>
      <c r="R12" s="49" t="e">
        <f t="shared" si="9"/>
        <v>#VALUE!</v>
      </c>
      <c r="S12" s="95" t="e">
        <f t="shared" si="5"/>
        <v>#VALUE!</v>
      </c>
      <c r="T12" s="95" t="e">
        <f t="shared" si="10"/>
        <v>#VALUE!</v>
      </c>
      <c r="U12" s="95" t="e">
        <f t="shared" si="6"/>
        <v>#VALUE!</v>
      </c>
      <c r="V12" s="95">
        <f t="shared" si="11"/>
        <v>5</v>
      </c>
      <c r="W12" s="95" t="e">
        <f t="shared" si="12"/>
        <v>#VALUE!</v>
      </c>
      <c r="X12" s="95" t="e">
        <f>($I$7+INT(-$I$7*0.95))-SUM($W$7:W12)</f>
        <v>#VALUE!</v>
      </c>
      <c r="Y12" s="50" t="e">
        <f>SUM($R$7:R12)</f>
        <v>#VALUE!</v>
      </c>
      <c r="Z12" s="51" t="e">
        <f t="shared" si="7"/>
        <v>#VALUE!</v>
      </c>
      <c r="AA12" s="52"/>
      <c r="AB12" s="41"/>
      <c r="AC12" s="41"/>
      <c r="AD12" s="51" t="s">
        <v>105</v>
      </c>
      <c r="AE12" s="98">
        <v>20</v>
      </c>
      <c r="AF12" s="99">
        <v>0.05</v>
      </c>
      <c r="AG12" s="99">
        <v>0.05</v>
      </c>
      <c r="AH12" s="98">
        <v>17</v>
      </c>
      <c r="AI12" s="99">
        <v>0.058</v>
      </c>
      <c r="AJ12" s="99">
        <v>0.059</v>
      </c>
    </row>
    <row r="13" spans="1:36" s="5" customFormat="1" ht="23.25" customHeight="1">
      <c r="A13" s="42"/>
      <c r="B13" s="43"/>
      <c r="C13" s="101">
        <f t="shared" si="8"/>
        <v>7</v>
      </c>
      <c r="D13" s="101" t="str">
        <f t="shared" si="0"/>
        <v>S </v>
      </c>
      <c r="E13" s="101">
        <f t="shared" si="1"/>
        <v>-1919</v>
      </c>
      <c r="F13" s="103"/>
      <c r="G13" s="104"/>
      <c r="H13" s="45"/>
      <c r="I13" s="46"/>
      <c r="J13" s="46"/>
      <c r="K13" s="47"/>
      <c r="L13" s="26" t="str">
        <f t="shared" si="2"/>
        <v>7年目
S -1919年</v>
      </c>
      <c r="M13" s="94">
        <f t="shared" si="3"/>
      </c>
      <c r="N13" s="33">
        <f t="shared" si="4"/>
      </c>
      <c r="O13" s="48">
        <v>12</v>
      </c>
      <c r="P13" s="35" t="s">
        <v>4</v>
      </c>
      <c r="Q13" s="36">
        <v>12</v>
      </c>
      <c r="R13" s="49" t="e">
        <f t="shared" si="9"/>
        <v>#VALUE!</v>
      </c>
      <c r="S13" s="95" t="e">
        <f t="shared" si="5"/>
        <v>#VALUE!</v>
      </c>
      <c r="T13" s="95" t="e">
        <f t="shared" si="10"/>
        <v>#VALUE!</v>
      </c>
      <c r="U13" s="95" t="e">
        <f t="shared" si="6"/>
        <v>#VALUE!</v>
      </c>
      <c r="V13" s="95">
        <f t="shared" si="11"/>
        <v>6</v>
      </c>
      <c r="W13" s="95" t="e">
        <f t="shared" si="12"/>
        <v>#VALUE!</v>
      </c>
      <c r="X13" s="95" t="e">
        <f>($I$7+INT(-$I$7*0.95))-SUM($W$7:W13)</f>
        <v>#VALUE!</v>
      </c>
      <c r="Y13" s="50" t="e">
        <f>SUM($R$7:R13)</f>
        <v>#VALUE!</v>
      </c>
      <c r="Z13" s="51" t="e">
        <f t="shared" si="7"/>
        <v>#VALUE!</v>
      </c>
      <c r="AA13" s="52"/>
      <c r="AB13" s="41"/>
      <c r="AC13" s="41"/>
      <c r="AD13" s="51" t="s">
        <v>106</v>
      </c>
      <c r="AE13" s="98">
        <v>17</v>
      </c>
      <c r="AF13" s="99">
        <v>0.058</v>
      </c>
      <c r="AG13" s="99">
        <v>0.059</v>
      </c>
      <c r="AH13" s="98">
        <v>14</v>
      </c>
      <c r="AI13" s="99">
        <v>0.071</v>
      </c>
      <c r="AJ13" s="99">
        <v>0.072</v>
      </c>
    </row>
    <row r="14" spans="1:36" s="5" customFormat="1" ht="23.25" customHeight="1">
      <c r="A14" s="42"/>
      <c r="B14" s="43"/>
      <c r="C14" s="101">
        <f t="shared" si="8"/>
        <v>8</v>
      </c>
      <c r="D14" s="101" t="str">
        <f t="shared" si="0"/>
        <v>S </v>
      </c>
      <c r="E14" s="101">
        <f t="shared" si="1"/>
        <v>-1918</v>
      </c>
      <c r="F14" s="103"/>
      <c r="G14" s="104"/>
      <c r="H14" s="45"/>
      <c r="I14" s="46"/>
      <c r="J14" s="46"/>
      <c r="K14" s="47"/>
      <c r="L14" s="26" t="str">
        <f t="shared" si="2"/>
        <v>8年目
S -1918年</v>
      </c>
      <c r="M14" s="94">
        <f t="shared" si="3"/>
      </c>
      <c r="N14" s="33">
        <f t="shared" si="4"/>
      </c>
      <c r="O14" s="48">
        <v>12</v>
      </c>
      <c r="P14" s="35" t="s">
        <v>4</v>
      </c>
      <c r="Q14" s="36">
        <v>12</v>
      </c>
      <c r="R14" s="49" t="e">
        <f t="shared" si="9"/>
        <v>#VALUE!</v>
      </c>
      <c r="S14" s="95" t="e">
        <f t="shared" si="5"/>
        <v>#VALUE!</v>
      </c>
      <c r="T14" s="95" t="e">
        <f t="shared" si="10"/>
        <v>#VALUE!</v>
      </c>
      <c r="U14" s="95" t="e">
        <f t="shared" si="6"/>
        <v>#VALUE!</v>
      </c>
      <c r="V14" s="95">
        <f t="shared" si="11"/>
        <v>7</v>
      </c>
      <c r="W14" s="95" t="e">
        <f t="shared" si="12"/>
        <v>#VALUE!</v>
      </c>
      <c r="X14" s="95" t="e">
        <f>($I$7+INT(-$I$7*0.95))-SUM($W$7:W14)</f>
        <v>#VALUE!</v>
      </c>
      <c r="Y14" s="50" t="e">
        <f>SUM($R$7:R14)</f>
        <v>#VALUE!</v>
      </c>
      <c r="Z14" s="51" t="e">
        <f t="shared" si="7"/>
        <v>#VALUE!</v>
      </c>
      <c r="AA14" s="52"/>
      <c r="AB14" s="41"/>
      <c r="AC14" s="41"/>
      <c r="AD14" s="51" t="s">
        <v>108</v>
      </c>
      <c r="AE14" s="98">
        <v>17</v>
      </c>
      <c r="AF14" s="99">
        <v>0.058</v>
      </c>
      <c r="AG14" s="99">
        <v>0.059</v>
      </c>
      <c r="AH14" s="98">
        <v>17</v>
      </c>
      <c r="AI14" s="99">
        <v>0.058</v>
      </c>
      <c r="AJ14" s="99">
        <v>0.059</v>
      </c>
    </row>
    <row r="15" spans="1:36" s="5" customFormat="1" ht="23.25" customHeight="1">
      <c r="A15" s="42"/>
      <c r="B15" s="43"/>
      <c r="C15" s="101">
        <f t="shared" si="8"/>
        <v>9</v>
      </c>
      <c r="D15" s="101" t="str">
        <f t="shared" si="0"/>
        <v>S </v>
      </c>
      <c r="E15" s="101">
        <f t="shared" si="1"/>
        <v>-1917</v>
      </c>
      <c r="F15" s="103"/>
      <c r="G15" s="104"/>
      <c r="H15" s="45"/>
      <c r="I15" s="46"/>
      <c r="J15" s="46"/>
      <c r="K15" s="47"/>
      <c r="L15" s="26" t="str">
        <f t="shared" si="2"/>
        <v>9年目
S -1917年</v>
      </c>
      <c r="M15" s="94">
        <f t="shared" si="3"/>
      </c>
      <c r="N15" s="33">
        <f t="shared" si="4"/>
      </c>
      <c r="O15" s="48">
        <v>12</v>
      </c>
      <c r="P15" s="35" t="s">
        <v>4</v>
      </c>
      <c r="Q15" s="36">
        <v>12</v>
      </c>
      <c r="R15" s="49" t="e">
        <f t="shared" si="9"/>
        <v>#VALUE!</v>
      </c>
      <c r="S15" s="95" t="e">
        <f t="shared" si="5"/>
        <v>#VALUE!</v>
      </c>
      <c r="T15" s="95" t="e">
        <f t="shared" si="10"/>
        <v>#VALUE!</v>
      </c>
      <c r="U15" s="95" t="e">
        <f t="shared" si="6"/>
        <v>#VALUE!</v>
      </c>
      <c r="V15" s="95">
        <f t="shared" si="11"/>
        <v>8</v>
      </c>
      <c r="W15" s="95" t="e">
        <f t="shared" si="12"/>
        <v>#VALUE!</v>
      </c>
      <c r="X15" s="95" t="e">
        <f>($I$7+INT(-$I$7*0.95))-SUM($W$7:W15)</f>
        <v>#VALUE!</v>
      </c>
      <c r="Y15" s="50" t="e">
        <f>SUM($R$7:R15)</f>
        <v>#VALUE!</v>
      </c>
      <c r="Z15" s="51" t="e">
        <f t="shared" si="7"/>
        <v>#VALUE!</v>
      </c>
      <c r="AA15" s="52"/>
      <c r="AB15" s="41"/>
      <c r="AC15" s="41"/>
      <c r="AD15" s="51" t="s">
        <v>109</v>
      </c>
      <c r="AE15" s="98">
        <v>20</v>
      </c>
      <c r="AF15" s="99">
        <v>0.05</v>
      </c>
      <c r="AG15" s="99">
        <v>0.05</v>
      </c>
      <c r="AH15" s="98">
        <v>17</v>
      </c>
      <c r="AI15" s="99">
        <v>0.058</v>
      </c>
      <c r="AJ15" s="99">
        <v>0.059</v>
      </c>
    </row>
    <row r="16" spans="1:36" s="5" customFormat="1" ht="23.25" customHeight="1">
      <c r="A16" s="42"/>
      <c r="B16" s="43"/>
      <c r="C16" s="101">
        <f t="shared" si="8"/>
        <v>10</v>
      </c>
      <c r="D16" s="101" t="str">
        <f t="shared" si="0"/>
        <v>S </v>
      </c>
      <c r="E16" s="101">
        <f t="shared" si="1"/>
        <v>-1916</v>
      </c>
      <c r="F16" s="103"/>
      <c r="G16" s="104"/>
      <c r="H16" s="45"/>
      <c r="I16" s="46"/>
      <c r="J16" s="46"/>
      <c r="K16" s="47"/>
      <c r="L16" s="26" t="str">
        <f t="shared" si="2"/>
        <v>10年目
S -1916年</v>
      </c>
      <c r="M16" s="94">
        <f t="shared" si="3"/>
      </c>
      <c r="N16" s="33">
        <f t="shared" si="4"/>
      </c>
      <c r="O16" s="48">
        <v>12</v>
      </c>
      <c r="P16" s="35" t="s">
        <v>4</v>
      </c>
      <c r="Q16" s="36">
        <v>12</v>
      </c>
      <c r="R16" s="49" t="e">
        <f t="shared" si="9"/>
        <v>#VALUE!</v>
      </c>
      <c r="S16" s="95" t="e">
        <f t="shared" si="5"/>
        <v>#VALUE!</v>
      </c>
      <c r="T16" s="95" t="e">
        <f t="shared" si="10"/>
        <v>#VALUE!</v>
      </c>
      <c r="U16" s="95" t="e">
        <f t="shared" si="6"/>
        <v>#VALUE!</v>
      </c>
      <c r="V16" s="95">
        <f t="shared" si="11"/>
        <v>9</v>
      </c>
      <c r="W16" s="95" t="e">
        <f t="shared" si="12"/>
        <v>#VALUE!</v>
      </c>
      <c r="X16" s="95" t="e">
        <f>($I$7+INT(-$I$7*0.95))-SUM($W$7:W16)</f>
        <v>#VALUE!</v>
      </c>
      <c r="Y16" s="50" t="e">
        <f>SUM($R$7:R16)</f>
        <v>#VALUE!</v>
      </c>
      <c r="Z16" s="51" t="e">
        <f t="shared" si="7"/>
        <v>#VALUE!</v>
      </c>
      <c r="AA16" s="52"/>
      <c r="AB16" s="41"/>
      <c r="AC16" s="41"/>
      <c r="AD16" s="51" t="s">
        <v>110</v>
      </c>
      <c r="AE16" s="98">
        <v>17</v>
      </c>
      <c r="AF16" s="99">
        <v>0.058</v>
      </c>
      <c r="AG16" s="99">
        <v>0.059</v>
      </c>
      <c r="AH16" s="98">
        <v>14</v>
      </c>
      <c r="AI16" s="99">
        <v>0.071</v>
      </c>
      <c r="AJ16" s="99">
        <v>0.072</v>
      </c>
    </row>
    <row r="17" spans="1:36" s="5" customFormat="1" ht="23.25" customHeight="1">
      <c r="A17" s="42"/>
      <c r="B17" s="43"/>
      <c r="C17" s="101">
        <f t="shared" si="8"/>
        <v>11</v>
      </c>
      <c r="D17" s="101" t="str">
        <f aca="true" t="shared" si="13" ref="D17:D29">IF(V17&gt;2018,"R ",IF(V17&gt;1988,"H ",IF(V17&lt;1989,"S ")))</f>
        <v>S </v>
      </c>
      <c r="E17" s="101">
        <f aca="true" t="shared" si="14" ref="E17:E29">IF(V17&gt;2018,V17-2018,IF(V17&gt;1988,V17-1988,IF(V17&lt;1989,V17-1925)))</f>
        <v>-1915</v>
      </c>
      <c r="F17" s="103"/>
      <c r="G17" s="104"/>
      <c r="H17" s="45"/>
      <c r="I17" s="46"/>
      <c r="J17" s="46"/>
      <c r="K17" s="47"/>
      <c r="L17" s="26" t="str">
        <f aca="true" t="shared" si="15" ref="L17:L29">C17&amp;"年目"&amp;CHAR(10)&amp;D17&amp;E17&amp;"年"</f>
        <v>11年目
S -1915年</v>
      </c>
      <c r="M17" s="94">
        <f aca="true" t="shared" si="16" ref="M17:M29">IF(ISNA(VLOOKUP($A$7,$AD$7:$AJ$27,2,0)),"",VLOOKUP($A$7,$AD$7:$AJ$27,IF(V17&lt;2009,2,5),0))</f>
      </c>
      <c r="N17" s="33">
        <f aca="true" t="shared" si="17" ref="N17:N29">IF(ISNA(VLOOKUP($A$7,$AD$7:$AJ$27,3,0)),"",VLOOKUP($A$7,$AD$7:$AJ$27,IF(V17&lt;2009,IF($K$7="旧定額",3,4),IF($K$7="旧定額",6,7)),0))</f>
      </c>
      <c r="O17" s="48">
        <v>12</v>
      </c>
      <c r="P17" s="35" t="s">
        <v>4</v>
      </c>
      <c r="Q17" s="36">
        <v>12</v>
      </c>
      <c r="R17" s="49" t="e">
        <f t="shared" si="9"/>
        <v>#VALUE!</v>
      </c>
      <c r="S17" s="95" t="e">
        <f aca="true" t="shared" si="18" ref="S17:S29">-INT(-$J$7*N17*(O17/12))</f>
        <v>#VALUE!</v>
      </c>
      <c r="T17" s="95" t="e">
        <f t="shared" si="10"/>
        <v>#VALUE!</v>
      </c>
      <c r="U17" s="95" t="e">
        <f aca="true" t="shared" si="19" ref="U17:U29">$AA$7-T17</f>
        <v>#VALUE!</v>
      </c>
      <c r="V17" s="95">
        <f t="shared" si="11"/>
        <v>10</v>
      </c>
      <c r="W17" s="95" t="e">
        <f t="shared" si="12"/>
        <v>#VALUE!</v>
      </c>
      <c r="X17" s="95" t="e">
        <f>($I$7+INT(-$I$7*0.95))-SUM($W$7:W17)</f>
        <v>#VALUE!</v>
      </c>
      <c r="Y17" s="50" t="e">
        <f>SUM($R$7:R17)</f>
        <v>#VALUE!</v>
      </c>
      <c r="Z17" s="51" t="e">
        <f aca="true" t="shared" si="20" ref="Z17:Z29">$I$7-Y17</f>
        <v>#VALUE!</v>
      </c>
      <c r="AA17" s="52"/>
      <c r="AB17" s="41"/>
      <c r="AC17" s="41"/>
      <c r="AD17" s="51" t="s">
        <v>111</v>
      </c>
      <c r="AE17" s="98">
        <v>17</v>
      </c>
      <c r="AF17" s="99">
        <v>0.058</v>
      </c>
      <c r="AG17" s="99">
        <v>0.059</v>
      </c>
      <c r="AH17" s="98">
        <v>17</v>
      </c>
      <c r="AI17" s="99">
        <v>0.058</v>
      </c>
      <c r="AJ17" s="99">
        <v>0.059</v>
      </c>
    </row>
    <row r="18" spans="1:36" s="5" customFormat="1" ht="23.25" customHeight="1">
      <c r="A18" s="42"/>
      <c r="B18" s="43"/>
      <c r="C18" s="101">
        <f aca="true" t="shared" si="21" ref="C18:C29">C17+1</f>
        <v>12</v>
      </c>
      <c r="D18" s="101" t="str">
        <f t="shared" si="13"/>
        <v>S </v>
      </c>
      <c r="E18" s="101">
        <f t="shared" si="14"/>
        <v>-1914</v>
      </c>
      <c r="F18" s="103"/>
      <c r="G18" s="104"/>
      <c r="H18" s="45"/>
      <c r="I18" s="46"/>
      <c r="J18" s="46"/>
      <c r="K18" s="47"/>
      <c r="L18" s="26" t="str">
        <f t="shared" si="15"/>
        <v>12年目
S -1914年</v>
      </c>
      <c r="M18" s="94">
        <f t="shared" si="16"/>
      </c>
      <c r="N18" s="33">
        <f t="shared" si="17"/>
      </c>
      <c r="O18" s="48">
        <v>12</v>
      </c>
      <c r="P18" s="35" t="s">
        <v>4</v>
      </c>
      <c r="Q18" s="36">
        <v>12</v>
      </c>
      <c r="R18" s="49" t="e">
        <f aca="true" t="shared" si="22" ref="R18:R29">IF(U18&gt;0,S18,IF(U17&gt;0,U17,0))+IF($I$7=$J$7,0,IF(X18&gt;0,W18,IF(X17&gt;0,X17-1,0)))</f>
        <v>#VALUE!</v>
      </c>
      <c r="S18" s="95" t="e">
        <f t="shared" si="18"/>
        <v>#VALUE!</v>
      </c>
      <c r="T18" s="95" t="e">
        <f aca="true" t="shared" si="23" ref="T18:T29">T17+S18</f>
        <v>#VALUE!</v>
      </c>
      <c r="U18" s="95" t="e">
        <f t="shared" si="19"/>
        <v>#VALUE!</v>
      </c>
      <c r="V18" s="95">
        <f aca="true" t="shared" si="24" ref="V18:V29">V17+1</f>
        <v>11</v>
      </c>
      <c r="W18" s="95" t="e">
        <f aca="true" t="shared" si="25" ref="W18:W29">IF(AND(U17&lt;0,V18&gt;=2008),-INT(-($I$7+INT(-$I$7*0.95)-1)/5),0)</f>
        <v>#VALUE!</v>
      </c>
      <c r="X18" s="95" t="e">
        <f>($I$7+INT(-$I$7*0.95))-SUM($W$7:W18)</f>
        <v>#VALUE!</v>
      </c>
      <c r="Y18" s="50" t="e">
        <f>SUM($R$7:R18)</f>
        <v>#VALUE!</v>
      </c>
      <c r="Z18" s="51" t="e">
        <f t="shared" si="20"/>
        <v>#VALUE!</v>
      </c>
      <c r="AA18" s="52"/>
      <c r="AB18" s="41"/>
      <c r="AC18" s="41"/>
      <c r="AD18" s="51" t="s">
        <v>112</v>
      </c>
      <c r="AE18" s="98">
        <v>20</v>
      </c>
      <c r="AF18" s="99">
        <v>0.05</v>
      </c>
      <c r="AG18" s="99">
        <v>0.05</v>
      </c>
      <c r="AH18" s="98">
        <v>17</v>
      </c>
      <c r="AI18" s="99">
        <v>0.058</v>
      </c>
      <c r="AJ18" s="99">
        <v>0.059</v>
      </c>
    </row>
    <row r="19" spans="1:36" s="5" customFormat="1" ht="23.25" customHeight="1">
      <c r="A19" s="42"/>
      <c r="B19" s="43"/>
      <c r="C19" s="101">
        <f t="shared" si="21"/>
        <v>13</v>
      </c>
      <c r="D19" s="101" t="str">
        <f t="shared" si="13"/>
        <v>S </v>
      </c>
      <c r="E19" s="101">
        <f t="shared" si="14"/>
        <v>-1913</v>
      </c>
      <c r="F19" s="103"/>
      <c r="G19" s="104"/>
      <c r="H19" s="45"/>
      <c r="I19" s="46"/>
      <c r="J19" s="46"/>
      <c r="K19" s="47"/>
      <c r="L19" s="26" t="str">
        <f t="shared" si="15"/>
        <v>13年目
S -1913年</v>
      </c>
      <c r="M19" s="94">
        <f t="shared" si="16"/>
      </c>
      <c r="N19" s="33">
        <f t="shared" si="17"/>
      </c>
      <c r="O19" s="48">
        <v>12</v>
      </c>
      <c r="P19" s="35" t="s">
        <v>85</v>
      </c>
      <c r="Q19" s="36">
        <v>12</v>
      </c>
      <c r="R19" s="49" t="e">
        <f t="shared" si="22"/>
        <v>#VALUE!</v>
      </c>
      <c r="S19" s="95" t="e">
        <f t="shared" si="18"/>
        <v>#VALUE!</v>
      </c>
      <c r="T19" s="95" t="e">
        <f t="shared" si="23"/>
        <v>#VALUE!</v>
      </c>
      <c r="U19" s="95" t="e">
        <f t="shared" si="19"/>
        <v>#VALUE!</v>
      </c>
      <c r="V19" s="95">
        <f t="shared" si="24"/>
        <v>12</v>
      </c>
      <c r="W19" s="95" t="e">
        <f t="shared" si="25"/>
        <v>#VALUE!</v>
      </c>
      <c r="X19" s="95" t="e">
        <f>($I$7+INT(-$I$7*0.95))-SUM($W$7:W19)</f>
        <v>#VALUE!</v>
      </c>
      <c r="Y19" s="50" t="e">
        <f>SUM($R$7:R19)</f>
        <v>#VALUE!</v>
      </c>
      <c r="Z19" s="51" t="e">
        <f t="shared" si="20"/>
        <v>#VALUE!</v>
      </c>
      <c r="AA19" s="52"/>
      <c r="AB19" s="41"/>
      <c r="AC19" s="41"/>
      <c r="AD19" s="51" t="s">
        <v>107</v>
      </c>
      <c r="AE19" s="98">
        <v>17</v>
      </c>
      <c r="AF19" s="99">
        <v>0.058</v>
      </c>
      <c r="AG19" s="99">
        <v>0.059</v>
      </c>
      <c r="AH19" s="98">
        <v>14</v>
      </c>
      <c r="AI19" s="99">
        <v>0.071</v>
      </c>
      <c r="AJ19" s="99">
        <v>0.072</v>
      </c>
    </row>
    <row r="20" spans="1:36" s="5" customFormat="1" ht="23.25" customHeight="1">
      <c r="A20" s="42"/>
      <c r="B20" s="43"/>
      <c r="C20" s="101">
        <f t="shared" si="21"/>
        <v>14</v>
      </c>
      <c r="D20" s="101" t="str">
        <f t="shared" si="13"/>
        <v>S </v>
      </c>
      <c r="E20" s="101">
        <f t="shared" si="14"/>
        <v>-1912</v>
      </c>
      <c r="F20" s="103"/>
      <c r="G20" s="104"/>
      <c r="H20" s="45"/>
      <c r="I20" s="46"/>
      <c r="J20" s="46"/>
      <c r="K20" s="47"/>
      <c r="L20" s="26" t="str">
        <f t="shared" si="15"/>
        <v>14年目
S -1912年</v>
      </c>
      <c r="M20" s="94">
        <f t="shared" si="16"/>
      </c>
      <c r="N20" s="33">
        <f t="shared" si="17"/>
      </c>
      <c r="O20" s="48">
        <v>12</v>
      </c>
      <c r="P20" s="35" t="s">
        <v>85</v>
      </c>
      <c r="Q20" s="36">
        <v>12</v>
      </c>
      <c r="R20" s="49" t="e">
        <f t="shared" si="22"/>
        <v>#VALUE!</v>
      </c>
      <c r="S20" s="95" t="e">
        <f t="shared" si="18"/>
        <v>#VALUE!</v>
      </c>
      <c r="T20" s="95" t="e">
        <f t="shared" si="23"/>
        <v>#VALUE!</v>
      </c>
      <c r="U20" s="95" t="e">
        <f t="shared" si="19"/>
        <v>#VALUE!</v>
      </c>
      <c r="V20" s="95">
        <f t="shared" si="24"/>
        <v>13</v>
      </c>
      <c r="W20" s="95" t="e">
        <f t="shared" si="25"/>
        <v>#VALUE!</v>
      </c>
      <c r="X20" s="95" t="e">
        <f>($I$7+INT(-$I$7*0.95))-SUM($W$7:W20)</f>
        <v>#VALUE!</v>
      </c>
      <c r="Y20" s="50" t="e">
        <f>SUM($R$7:R20)</f>
        <v>#VALUE!</v>
      </c>
      <c r="Z20" s="51" t="e">
        <f t="shared" si="20"/>
        <v>#VALUE!</v>
      </c>
      <c r="AA20" s="52"/>
      <c r="AD20" s="51" t="s">
        <v>113</v>
      </c>
      <c r="AE20" s="98">
        <v>17</v>
      </c>
      <c r="AF20" s="99">
        <v>0.058</v>
      </c>
      <c r="AG20" s="99">
        <v>0.059</v>
      </c>
      <c r="AH20" s="98">
        <v>17</v>
      </c>
      <c r="AI20" s="99">
        <v>0.058</v>
      </c>
      <c r="AJ20" s="99">
        <v>0.059</v>
      </c>
    </row>
    <row r="21" spans="1:36" s="5" customFormat="1" ht="23.25" customHeight="1">
      <c r="A21" s="42"/>
      <c r="B21" s="43"/>
      <c r="C21" s="101">
        <f t="shared" si="21"/>
        <v>15</v>
      </c>
      <c r="D21" s="101" t="str">
        <f t="shared" si="13"/>
        <v>S </v>
      </c>
      <c r="E21" s="101">
        <f t="shared" si="14"/>
        <v>-1911</v>
      </c>
      <c r="F21" s="103"/>
      <c r="G21" s="104"/>
      <c r="H21" s="45"/>
      <c r="I21" s="46"/>
      <c r="J21" s="46"/>
      <c r="K21" s="47"/>
      <c r="L21" s="26" t="str">
        <f t="shared" si="15"/>
        <v>15年目
S -1911年</v>
      </c>
      <c r="M21" s="94">
        <f t="shared" si="16"/>
      </c>
      <c r="N21" s="33">
        <f t="shared" si="17"/>
      </c>
      <c r="O21" s="48">
        <v>12</v>
      </c>
      <c r="P21" s="35" t="s">
        <v>85</v>
      </c>
      <c r="Q21" s="36">
        <v>12</v>
      </c>
      <c r="R21" s="49" t="e">
        <f t="shared" si="22"/>
        <v>#VALUE!</v>
      </c>
      <c r="S21" s="95" t="e">
        <f t="shared" si="18"/>
        <v>#VALUE!</v>
      </c>
      <c r="T21" s="95" t="e">
        <f t="shared" si="23"/>
        <v>#VALUE!</v>
      </c>
      <c r="U21" s="95" t="e">
        <f t="shared" si="19"/>
        <v>#VALUE!</v>
      </c>
      <c r="V21" s="95">
        <f t="shared" si="24"/>
        <v>14</v>
      </c>
      <c r="W21" s="95" t="e">
        <f t="shared" si="25"/>
        <v>#VALUE!</v>
      </c>
      <c r="X21" s="95" t="e">
        <f>($I$7+INT(-$I$7*0.95))-SUM($W$7:W21)</f>
        <v>#VALUE!</v>
      </c>
      <c r="Y21" s="50" t="e">
        <f>SUM($R$7:R21)</f>
        <v>#VALUE!</v>
      </c>
      <c r="Z21" s="51" t="e">
        <f t="shared" si="20"/>
        <v>#VALUE!</v>
      </c>
      <c r="AA21" s="52"/>
      <c r="AD21" s="51" t="s">
        <v>114</v>
      </c>
      <c r="AE21" s="98">
        <v>20</v>
      </c>
      <c r="AF21" s="99">
        <v>0.05</v>
      </c>
      <c r="AG21" s="99">
        <v>0.05</v>
      </c>
      <c r="AH21" s="98">
        <v>17</v>
      </c>
      <c r="AI21" s="99">
        <v>0.058</v>
      </c>
      <c r="AJ21" s="99">
        <v>0.059</v>
      </c>
    </row>
    <row r="22" spans="1:36" s="5" customFormat="1" ht="23.25" customHeight="1">
      <c r="A22" s="42"/>
      <c r="B22" s="43"/>
      <c r="C22" s="101">
        <f t="shared" si="21"/>
        <v>16</v>
      </c>
      <c r="D22" s="101" t="str">
        <f t="shared" si="13"/>
        <v>S </v>
      </c>
      <c r="E22" s="101">
        <f t="shared" si="14"/>
        <v>-1910</v>
      </c>
      <c r="F22" s="103"/>
      <c r="G22" s="104"/>
      <c r="H22" s="45"/>
      <c r="I22" s="46"/>
      <c r="J22" s="46"/>
      <c r="K22" s="47"/>
      <c r="L22" s="26" t="str">
        <f t="shared" si="15"/>
        <v>16年目
S -1910年</v>
      </c>
      <c r="M22" s="94">
        <f t="shared" si="16"/>
      </c>
      <c r="N22" s="33">
        <f t="shared" si="17"/>
      </c>
      <c r="O22" s="48">
        <v>12</v>
      </c>
      <c r="P22" s="35" t="s">
        <v>85</v>
      </c>
      <c r="Q22" s="36">
        <v>12</v>
      </c>
      <c r="R22" s="49" t="e">
        <f t="shared" si="22"/>
        <v>#VALUE!</v>
      </c>
      <c r="S22" s="95" t="e">
        <f t="shared" si="18"/>
        <v>#VALUE!</v>
      </c>
      <c r="T22" s="95" t="e">
        <f t="shared" si="23"/>
        <v>#VALUE!</v>
      </c>
      <c r="U22" s="95" t="e">
        <f t="shared" si="19"/>
        <v>#VALUE!</v>
      </c>
      <c r="V22" s="95">
        <f t="shared" si="24"/>
        <v>15</v>
      </c>
      <c r="W22" s="95" t="e">
        <f t="shared" si="25"/>
        <v>#VALUE!</v>
      </c>
      <c r="X22" s="95" t="e">
        <f>($I$7+INT(-$I$7*0.95))-SUM($W$7:W22)</f>
        <v>#VALUE!</v>
      </c>
      <c r="Y22" s="50" t="e">
        <f>SUM($R$7:R22)</f>
        <v>#VALUE!</v>
      </c>
      <c r="Z22" s="51" t="e">
        <f t="shared" si="20"/>
        <v>#VALUE!</v>
      </c>
      <c r="AA22" s="52"/>
      <c r="AD22" s="51" t="s">
        <v>115</v>
      </c>
      <c r="AE22" s="98">
        <v>13</v>
      </c>
      <c r="AF22" s="99">
        <v>0.076</v>
      </c>
      <c r="AG22" s="99">
        <v>0.077</v>
      </c>
      <c r="AH22" s="98">
        <v>14</v>
      </c>
      <c r="AI22" s="99">
        <v>0.071</v>
      </c>
      <c r="AJ22" s="99">
        <v>0.072</v>
      </c>
    </row>
    <row r="23" spans="1:36" s="5" customFormat="1" ht="23.25" customHeight="1">
      <c r="A23" s="42"/>
      <c r="B23" s="43"/>
      <c r="C23" s="101">
        <f t="shared" si="21"/>
        <v>17</v>
      </c>
      <c r="D23" s="101" t="str">
        <f t="shared" si="13"/>
        <v>S </v>
      </c>
      <c r="E23" s="101">
        <f t="shared" si="14"/>
        <v>-1909</v>
      </c>
      <c r="F23" s="103"/>
      <c r="G23" s="104"/>
      <c r="H23" s="45"/>
      <c r="I23" s="46"/>
      <c r="J23" s="46"/>
      <c r="K23" s="47"/>
      <c r="L23" s="26" t="str">
        <f t="shared" si="15"/>
        <v>17年目
S -1909年</v>
      </c>
      <c r="M23" s="94">
        <f t="shared" si="16"/>
      </c>
      <c r="N23" s="33">
        <f t="shared" si="17"/>
      </c>
      <c r="O23" s="48">
        <v>12</v>
      </c>
      <c r="P23" s="35" t="s">
        <v>85</v>
      </c>
      <c r="Q23" s="36">
        <v>12</v>
      </c>
      <c r="R23" s="49" t="e">
        <f t="shared" si="22"/>
        <v>#VALUE!</v>
      </c>
      <c r="S23" s="95" t="e">
        <f t="shared" si="18"/>
        <v>#VALUE!</v>
      </c>
      <c r="T23" s="95" t="e">
        <f t="shared" si="23"/>
        <v>#VALUE!</v>
      </c>
      <c r="U23" s="95" t="e">
        <f t="shared" si="19"/>
        <v>#VALUE!</v>
      </c>
      <c r="V23" s="95">
        <f t="shared" si="24"/>
        <v>16</v>
      </c>
      <c r="W23" s="95" t="e">
        <f t="shared" si="25"/>
        <v>#VALUE!</v>
      </c>
      <c r="X23" s="95" t="e">
        <f>($I$7+INT(-$I$7*0.95))-SUM($W$7:W23)</f>
        <v>#VALUE!</v>
      </c>
      <c r="Y23" s="50" t="e">
        <f>SUM($R$7:R23)</f>
        <v>#VALUE!</v>
      </c>
      <c r="Z23" s="51" t="e">
        <f t="shared" si="20"/>
        <v>#VALUE!</v>
      </c>
      <c r="AA23" s="52"/>
      <c r="AD23" s="51" t="s">
        <v>116</v>
      </c>
      <c r="AE23" s="98">
        <v>15</v>
      </c>
      <c r="AF23" s="99">
        <v>0.066</v>
      </c>
      <c r="AG23" s="99">
        <v>0.067</v>
      </c>
      <c r="AH23" s="98">
        <v>14</v>
      </c>
      <c r="AI23" s="99">
        <v>0.071</v>
      </c>
      <c r="AJ23" s="99">
        <v>0.072</v>
      </c>
    </row>
    <row r="24" spans="1:36" s="5" customFormat="1" ht="23.25" customHeight="1">
      <c r="A24" s="42"/>
      <c r="B24" s="43"/>
      <c r="C24" s="101">
        <f t="shared" si="21"/>
        <v>18</v>
      </c>
      <c r="D24" s="101" t="str">
        <f t="shared" si="13"/>
        <v>S </v>
      </c>
      <c r="E24" s="101">
        <f t="shared" si="14"/>
        <v>-1908</v>
      </c>
      <c r="F24" s="103"/>
      <c r="G24" s="104"/>
      <c r="H24" s="45"/>
      <c r="I24" s="46"/>
      <c r="J24" s="46"/>
      <c r="K24" s="47"/>
      <c r="L24" s="26" t="str">
        <f t="shared" si="15"/>
        <v>18年目
S -1908年</v>
      </c>
      <c r="M24" s="94">
        <f t="shared" si="16"/>
      </c>
      <c r="N24" s="33">
        <f t="shared" si="17"/>
      </c>
      <c r="O24" s="48">
        <v>12</v>
      </c>
      <c r="P24" s="35" t="s">
        <v>85</v>
      </c>
      <c r="Q24" s="36">
        <v>12</v>
      </c>
      <c r="R24" s="49" t="e">
        <f t="shared" si="22"/>
        <v>#VALUE!</v>
      </c>
      <c r="S24" s="114" t="e">
        <f t="shared" si="18"/>
        <v>#VALUE!</v>
      </c>
      <c r="T24" s="114" t="e">
        <f t="shared" si="23"/>
        <v>#VALUE!</v>
      </c>
      <c r="U24" s="114" t="e">
        <f t="shared" si="19"/>
        <v>#VALUE!</v>
      </c>
      <c r="V24" s="114">
        <f t="shared" si="24"/>
        <v>17</v>
      </c>
      <c r="W24" s="114" t="e">
        <f t="shared" si="25"/>
        <v>#VALUE!</v>
      </c>
      <c r="X24" s="114" t="e">
        <f>($I$7+INT(-$I$7*0.95))-SUM($W$7:W24)</f>
        <v>#VALUE!</v>
      </c>
      <c r="Y24" s="50" t="e">
        <f>SUM($R$7:R24)</f>
        <v>#VALUE!</v>
      </c>
      <c r="Z24" s="51" t="e">
        <f t="shared" si="20"/>
        <v>#VALUE!</v>
      </c>
      <c r="AA24" s="52"/>
      <c r="AD24" s="51" t="s">
        <v>117</v>
      </c>
      <c r="AE24" s="98">
        <v>5</v>
      </c>
      <c r="AF24" s="99">
        <v>0.2</v>
      </c>
      <c r="AG24" s="99">
        <v>0.2</v>
      </c>
      <c r="AH24" s="98">
        <v>5</v>
      </c>
      <c r="AI24" s="99">
        <v>0.2</v>
      </c>
      <c r="AJ24" s="99">
        <v>0.2</v>
      </c>
    </row>
    <row r="25" spans="1:36" s="5" customFormat="1" ht="23.25" customHeight="1">
      <c r="A25" s="42"/>
      <c r="B25" s="43"/>
      <c r="C25" s="101">
        <f t="shared" si="21"/>
        <v>19</v>
      </c>
      <c r="D25" s="101" t="str">
        <f t="shared" si="13"/>
        <v>S </v>
      </c>
      <c r="E25" s="101">
        <f t="shared" si="14"/>
        <v>-1907</v>
      </c>
      <c r="F25" s="103"/>
      <c r="G25" s="104"/>
      <c r="H25" s="45"/>
      <c r="I25" s="46"/>
      <c r="J25" s="46"/>
      <c r="K25" s="47"/>
      <c r="L25" s="26" t="str">
        <f t="shared" si="15"/>
        <v>19年目
S -1907年</v>
      </c>
      <c r="M25" s="94">
        <f t="shared" si="16"/>
      </c>
      <c r="N25" s="33">
        <f t="shared" si="17"/>
      </c>
      <c r="O25" s="48">
        <v>12</v>
      </c>
      <c r="P25" s="35" t="s">
        <v>85</v>
      </c>
      <c r="Q25" s="36">
        <v>12</v>
      </c>
      <c r="R25" s="49" t="e">
        <f t="shared" si="22"/>
        <v>#VALUE!</v>
      </c>
      <c r="S25" s="114" t="e">
        <f t="shared" si="18"/>
        <v>#VALUE!</v>
      </c>
      <c r="T25" s="114" t="e">
        <f t="shared" si="23"/>
        <v>#VALUE!</v>
      </c>
      <c r="U25" s="114" t="e">
        <f t="shared" si="19"/>
        <v>#VALUE!</v>
      </c>
      <c r="V25" s="114">
        <f t="shared" si="24"/>
        <v>18</v>
      </c>
      <c r="W25" s="114" t="e">
        <f t="shared" si="25"/>
        <v>#VALUE!</v>
      </c>
      <c r="X25" s="114" t="e">
        <f>($I$7+INT(-$I$7*0.95))-SUM($W$7:W25)</f>
        <v>#VALUE!</v>
      </c>
      <c r="Y25" s="50" t="e">
        <f>SUM($R$7:R25)</f>
        <v>#VALUE!</v>
      </c>
      <c r="Z25" s="51" t="e">
        <f t="shared" si="20"/>
        <v>#VALUE!</v>
      </c>
      <c r="AA25" s="52"/>
      <c r="AD25" s="51" t="s">
        <v>118</v>
      </c>
      <c r="AE25" s="98">
        <v>10</v>
      </c>
      <c r="AF25" s="99">
        <v>0.1</v>
      </c>
      <c r="AG25" s="99">
        <v>0.1</v>
      </c>
      <c r="AH25" s="98">
        <v>10</v>
      </c>
      <c r="AI25" s="99">
        <v>0.1</v>
      </c>
      <c r="AJ25" s="99">
        <v>0.1</v>
      </c>
    </row>
    <row r="26" spans="1:36" s="5" customFormat="1" ht="23.25" customHeight="1">
      <c r="A26" s="42"/>
      <c r="B26" s="43"/>
      <c r="C26" s="101">
        <f t="shared" si="21"/>
        <v>20</v>
      </c>
      <c r="D26" s="101" t="str">
        <f t="shared" si="13"/>
        <v>S </v>
      </c>
      <c r="E26" s="101">
        <f t="shared" si="14"/>
        <v>-1906</v>
      </c>
      <c r="F26" s="103"/>
      <c r="G26" s="104"/>
      <c r="H26" s="45"/>
      <c r="I26" s="46"/>
      <c r="J26" s="46"/>
      <c r="K26" s="47"/>
      <c r="L26" s="26" t="str">
        <f t="shared" si="15"/>
        <v>20年目
S -1906年</v>
      </c>
      <c r="M26" s="94">
        <f t="shared" si="16"/>
      </c>
      <c r="N26" s="33">
        <f t="shared" si="17"/>
      </c>
      <c r="O26" s="48">
        <v>12</v>
      </c>
      <c r="P26" s="35" t="s">
        <v>85</v>
      </c>
      <c r="Q26" s="36">
        <v>12</v>
      </c>
      <c r="R26" s="49" t="e">
        <f t="shared" si="22"/>
        <v>#VALUE!</v>
      </c>
      <c r="S26" s="114" t="e">
        <f t="shared" si="18"/>
        <v>#VALUE!</v>
      </c>
      <c r="T26" s="114" t="e">
        <f t="shared" si="23"/>
        <v>#VALUE!</v>
      </c>
      <c r="U26" s="114" t="e">
        <f t="shared" si="19"/>
        <v>#VALUE!</v>
      </c>
      <c r="V26" s="114">
        <f t="shared" si="24"/>
        <v>19</v>
      </c>
      <c r="W26" s="114" t="e">
        <f t="shared" si="25"/>
        <v>#VALUE!</v>
      </c>
      <c r="X26" s="114" t="e">
        <f>($I$7+INT(-$I$7*0.95))-SUM($W$7:W26)</f>
        <v>#VALUE!</v>
      </c>
      <c r="Y26" s="50" t="e">
        <f>SUM($R$7:R26)</f>
        <v>#VALUE!</v>
      </c>
      <c r="Z26" s="51" t="e">
        <f t="shared" si="20"/>
        <v>#VALUE!</v>
      </c>
      <c r="AA26" s="52"/>
      <c r="AD26" s="97" t="s">
        <v>119</v>
      </c>
      <c r="AE26" s="107">
        <v>8</v>
      </c>
      <c r="AF26" s="108">
        <v>0.125</v>
      </c>
      <c r="AG26" s="108">
        <v>0.125</v>
      </c>
      <c r="AH26" s="107">
        <v>8</v>
      </c>
      <c r="AI26" s="108">
        <v>0.125</v>
      </c>
      <c r="AJ26" s="108">
        <v>0.125</v>
      </c>
    </row>
    <row r="27" spans="1:36" s="5" customFormat="1" ht="23.25" customHeight="1">
      <c r="A27" s="42"/>
      <c r="B27" s="43"/>
      <c r="C27" s="101">
        <f t="shared" si="21"/>
        <v>21</v>
      </c>
      <c r="D27" s="101" t="str">
        <f t="shared" si="13"/>
        <v>S </v>
      </c>
      <c r="E27" s="101">
        <f t="shared" si="14"/>
        <v>-1905</v>
      </c>
      <c r="F27" s="103"/>
      <c r="G27" s="104"/>
      <c r="H27" s="45"/>
      <c r="I27" s="46"/>
      <c r="J27" s="46"/>
      <c r="K27" s="47"/>
      <c r="L27" s="26" t="str">
        <f t="shared" si="15"/>
        <v>21年目
S -1905年</v>
      </c>
      <c r="M27" s="94">
        <f t="shared" si="16"/>
      </c>
      <c r="N27" s="33">
        <f t="shared" si="17"/>
      </c>
      <c r="O27" s="48">
        <v>12</v>
      </c>
      <c r="P27" s="35" t="s">
        <v>85</v>
      </c>
      <c r="Q27" s="36">
        <v>12</v>
      </c>
      <c r="R27" s="49" t="e">
        <f t="shared" si="22"/>
        <v>#VALUE!</v>
      </c>
      <c r="S27" s="114" t="e">
        <f t="shared" si="18"/>
        <v>#VALUE!</v>
      </c>
      <c r="T27" s="114" t="e">
        <f t="shared" si="23"/>
        <v>#VALUE!</v>
      </c>
      <c r="U27" s="114" t="e">
        <f t="shared" si="19"/>
        <v>#VALUE!</v>
      </c>
      <c r="V27" s="114">
        <f t="shared" si="24"/>
        <v>20</v>
      </c>
      <c r="W27" s="114" t="e">
        <f t="shared" si="25"/>
        <v>#VALUE!</v>
      </c>
      <c r="X27" s="114" t="e">
        <f>($I$7+INT(-$I$7*0.95))-SUM($W$7:W27)</f>
        <v>#VALUE!</v>
      </c>
      <c r="Y27" s="50" t="e">
        <f>SUM($R$7:R27)</f>
        <v>#VALUE!</v>
      </c>
      <c r="Z27" s="51" t="e">
        <f t="shared" si="20"/>
        <v>#VALUE!</v>
      </c>
      <c r="AA27" s="52"/>
      <c r="AD27" s="127"/>
      <c r="AE27" s="112"/>
      <c r="AF27" s="111"/>
      <c r="AG27" s="111"/>
      <c r="AH27" s="112"/>
      <c r="AI27" s="111"/>
      <c r="AJ27" s="113"/>
    </row>
    <row r="28" spans="1:31" s="5" customFormat="1" ht="23.25" customHeight="1">
      <c r="A28" s="42"/>
      <c r="B28" s="43"/>
      <c r="C28" s="101">
        <f t="shared" si="21"/>
        <v>22</v>
      </c>
      <c r="D28" s="101" t="str">
        <f t="shared" si="13"/>
        <v>S </v>
      </c>
      <c r="E28" s="101">
        <f t="shared" si="14"/>
        <v>-1904</v>
      </c>
      <c r="F28" s="103"/>
      <c r="G28" s="104"/>
      <c r="H28" s="45"/>
      <c r="I28" s="46"/>
      <c r="J28" s="46"/>
      <c r="K28" s="47"/>
      <c r="L28" s="26" t="str">
        <f t="shared" si="15"/>
        <v>22年目
S -1904年</v>
      </c>
      <c r="M28" s="94">
        <f t="shared" si="16"/>
      </c>
      <c r="N28" s="33">
        <f t="shared" si="17"/>
      </c>
      <c r="O28" s="48">
        <v>12</v>
      </c>
      <c r="P28" s="35" t="s">
        <v>85</v>
      </c>
      <c r="Q28" s="36">
        <v>12</v>
      </c>
      <c r="R28" s="49" t="e">
        <f t="shared" si="22"/>
        <v>#VALUE!</v>
      </c>
      <c r="S28" s="114" t="e">
        <f t="shared" si="18"/>
        <v>#VALUE!</v>
      </c>
      <c r="T28" s="114" t="e">
        <f t="shared" si="23"/>
        <v>#VALUE!</v>
      </c>
      <c r="U28" s="114" t="e">
        <f t="shared" si="19"/>
        <v>#VALUE!</v>
      </c>
      <c r="V28" s="114">
        <f t="shared" si="24"/>
        <v>21</v>
      </c>
      <c r="W28" s="114" t="e">
        <f t="shared" si="25"/>
        <v>#VALUE!</v>
      </c>
      <c r="X28" s="114" t="e">
        <f>($I$7+INT(-$I$7*0.95))-SUM($W$7:W28)</f>
        <v>#VALUE!</v>
      </c>
      <c r="Y28" s="50" t="e">
        <f>SUM($R$7:R28)</f>
        <v>#VALUE!</v>
      </c>
      <c r="Z28" s="51" t="e">
        <f t="shared" si="20"/>
        <v>#VALUE!</v>
      </c>
      <c r="AA28" s="52"/>
      <c r="AD28" s="126"/>
      <c r="AE28" s="41"/>
    </row>
    <row r="29" spans="1:36" ht="23.25" customHeight="1">
      <c r="A29" s="42"/>
      <c r="B29" s="43"/>
      <c r="C29" s="101">
        <f t="shared" si="21"/>
        <v>23</v>
      </c>
      <c r="D29" s="101" t="str">
        <f t="shared" si="13"/>
        <v>S </v>
      </c>
      <c r="E29" s="101">
        <f t="shared" si="14"/>
        <v>-1903</v>
      </c>
      <c r="F29" s="103"/>
      <c r="G29" s="104"/>
      <c r="H29" s="45"/>
      <c r="I29" s="46"/>
      <c r="J29" s="46"/>
      <c r="K29" s="47"/>
      <c r="L29" s="26" t="str">
        <f t="shared" si="15"/>
        <v>23年目
S -1903年</v>
      </c>
      <c r="M29" s="94">
        <f t="shared" si="16"/>
      </c>
      <c r="N29" s="33">
        <f t="shared" si="17"/>
      </c>
      <c r="O29" s="48">
        <v>12</v>
      </c>
      <c r="P29" s="35" t="s">
        <v>85</v>
      </c>
      <c r="Q29" s="36">
        <v>12</v>
      </c>
      <c r="R29" s="53" t="e">
        <f t="shared" si="22"/>
        <v>#VALUE!</v>
      </c>
      <c r="S29" s="114" t="e">
        <f t="shared" si="18"/>
        <v>#VALUE!</v>
      </c>
      <c r="T29" s="114" t="e">
        <f t="shared" si="23"/>
        <v>#VALUE!</v>
      </c>
      <c r="U29" s="114" t="e">
        <f t="shared" si="19"/>
        <v>#VALUE!</v>
      </c>
      <c r="V29" s="114">
        <f t="shared" si="24"/>
        <v>22</v>
      </c>
      <c r="W29" s="114" t="e">
        <f t="shared" si="25"/>
        <v>#VALUE!</v>
      </c>
      <c r="X29" s="114" t="e">
        <f>($I$7+INT(-$I$7*0.95))-SUM($W$7:W29)</f>
        <v>#VALUE!</v>
      </c>
      <c r="Y29" s="50" t="e">
        <f>SUM($R$7:R29)</f>
        <v>#VALUE!</v>
      </c>
      <c r="Z29" s="51" t="e">
        <f t="shared" si="20"/>
        <v>#VALUE!</v>
      </c>
      <c r="AA29" s="54"/>
      <c r="AD29" s="63"/>
      <c r="AE29" s="5"/>
      <c r="AF29" s="5"/>
      <c r="AG29" s="5"/>
      <c r="AH29" s="5"/>
      <c r="AI29" s="5"/>
      <c r="AJ29" s="5"/>
    </row>
    <row r="30" spans="30:36" ht="13.5" customHeight="1">
      <c r="AD30" s="63"/>
      <c r="AE30" s="5"/>
      <c r="AF30" s="5"/>
      <c r="AG30" s="5"/>
      <c r="AH30" s="5"/>
      <c r="AI30" s="5"/>
      <c r="AJ30" s="5"/>
    </row>
    <row r="31" spans="30:36" ht="13.5" customHeight="1">
      <c r="AD31" s="63"/>
      <c r="AE31" s="5"/>
      <c r="AF31" s="5"/>
      <c r="AG31" s="5"/>
      <c r="AH31" s="5"/>
      <c r="AI31" s="5"/>
      <c r="AJ31" s="5"/>
    </row>
    <row r="32" spans="30:36" ht="13.5" customHeight="1">
      <c r="AD32" s="63"/>
      <c r="AE32" s="5"/>
      <c r="AF32" s="5"/>
      <c r="AG32" s="5"/>
      <c r="AH32" s="5"/>
      <c r="AI32" s="5"/>
      <c r="AJ32" s="5"/>
    </row>
    <row r="33" spans="30:36" ht="13.5" customHeight="1">
      <c r="AD33" s="63"/>
      <c r="AE33" s="5"/>
      <c r="AF33" s="5"/>
      <c r="AG33" s="5"/>
      <c r="AH33" s="5"/>
      <c r="AI33" s="5"/>
      <c r="AJ33" s="5"/>
    </row>
    <row r="34" spans="30:36" ht="13.5" customHeight="1">
      <c r="AD34" s="63"/>
      <c r="AE34" s="5"/>
      <c r="AF34" s="5"/>
      <c r="AG34" s="5"/>
      <c r="AH34" s="5"/>
      <c r="AI34" s="5"/>
      <c r="AJ34" s="5"/>
    </row>
    <row r="35" spans="30:36" ht="13.5" customHeight="1">
      <c r="AD35" s="63"/>
      <c r="AE35" s="5"/>
      <c r="AF35" s="5"/>
      <c r="AG35" s="5"/>
      <c r="AH35" s="5"/>
      <c r="AI35" s="5"/>
      <c r="AJ35" s="5"/>
    </row>
    <row r="36" spans="30:36" ht="13.5" customHeight="1">
      <c r="AD36" s="63"/>
      <c r="AE36" s="5"/>
      <c r="AF36" s="5"/>
      <c r="AG36" s="5"/>
      <c r="AH36" s="5"/>
      <c r="AI36" s="5"/>
      <c r="AJ36" s="5"/>
    </row>
    <row r="37" spans="30:36" ht="13.5" customHeight="1">
      <c r="AD37" s="63"/>
      <c r="AE37" s="5"/>
      <c r="AF37" s="5"/>
      <c r="AG37" s="5"/>
      <c r="AH37" s="5"/>
      <c r="AI37" s="5"/>
      <c r="AJ37" s="5"/>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sheetProtection sheet="1" selectLockedCells="1"/>
  <mergeCells count="4">
    <mergeCell ref="A1:AA1"/>
    <mergeCell ref="A2:AA2"/>
    <mergeCell ref="F5:H5"/>
    <mergeCell ref="O5:Q5"/>
  </mergeCells>
  <dataValidations count="4">
    <dataValidation type="whole" operator="greaterThanOrEqual" allowBlank="1" showErrorMessage="1" sqref="I7 G7">
      <formula1>0</formula1>
    </dataValidation>
    <dataValidation type="whole" allowBlank="1" showErrorMessage="1" sqref="H7">
      <formula1>1</formula1>
      <formula2>12</formula2>
    </dataValidation>
    <dataValidation type="list" allowBlank="1" showInputMessage="1" showErrorMessage="1" sqref="F7">
      <formula1>$AL$7:$AL$9</formula1>
    </dataValidation>
    <dataValidation type="list" allowBlank="1" sqref="A7">
      <formula1>$AD$7:$AD$27</formula1>
    </dataValidation>
  </dataValidations>
  <printOptions/>
  <pageMargins left="0.3937007874015748" right="0.1968503937007874" top="0.3937007874015748" bottom="0.3937007874015748" header="0.1968503937007874" footer="0.1968503937007874"/>
  <pageSetup cellComments="asDisplayed" fitToHeight="1" fitToWidth="1" horizontalDpi="600" verticalDpi="600" orientation="landscape" paperSize="9" scale="88" r:id="rId3"/>
  <headerFooter alignWithMargins="0">
    <oddFooter>&amp;L◆このシートでは、1円未満の端数を切り上げて計算しています。</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27"/>
  <sheetViews>
    <sheetView zoomScale="75" zoomScaleNormal="75" zoomScalePageLayoutView="0" workbookViewId="0" topLeftCell="A1">
      <selection activeCell="Q6" sqref="Q6"/>
    </sheetView>
  </sheetViews>
  <sheetFormatPr defaultColWidth="9.00390625" defaultRowHeight="13.5"/>
  <cols>
    <col min="1" max="1" width="6.625" style="1" customWidth="1"/>
    <col min="2" max="2" width="15.00390625" style="1" customWidth="1"/>
    <col min="3" max="3" width="5.00390625" style="1" customWidth="1"/>
    <col min="4" max="4" width="4.625" style="1" customWidth="1"/>
    <col min="5" max="5" width="4.25390625" style="1" customWidth="1"/>
    <col min="6" max="7" width="14.375" style="1" customWidth="1"/>
    <col min="8" max="8" width="4.625" style="2" customWidth="1"/>
    <col min="9" max="9" width="5.25390625" style="1" bestFit="1" customWidth="1"/>
    <col min="10" max="10" width="6.625" style="2" customWidth="1"/>
    <col min="11" max="11" width="3.125" style="3" customWidth="1"/>
    <col min="12" max="12" width="1.75390625" style="1" customWidth="1"/>
    <col min="13" max="13" width="3.125" style="4" customWidth="1"/>
    <col min="14" max="14" width="12.50390625" style="1" customWidth="1"/>
    <col min="15" max="17" width="14.375" style="1" customWidth="1"/>
    <col min="18" max="18" width="6.625" style="1" customWidth="1"/>
    <col min="19" max="19" width="9.00390625" style="1" bestFit="1" customWidth="1"/>
    <col min="20" max="16384" width="9.00390625" style="1" customWidth="1"/>
  </cols>
  <sheetData>
    <row r="1" spans="1:17" ht="13.5">
      <c r="A1" s="128" t="s">
        <v>1</v>
      </c>
      <c r="B1" s="128"/>
      <c r="C1" s="128"/>
      <c r="D1" s="128"/>
      <c r="E1" s="128"/>
      <c r="F1" s="128"/>
      <c r="G1" s="128"/>
      <c r="H1" s="128"/>
      <c r="I1" s="128"/>
      <c r="J1" s="128"/>
      <c r="K1" s="128"/>
      <c r="L1" s="128"/>
      <c r="M1" s="128"/>
      <c r="N1" s="128"/>
      <c r="O1" s="128"/>
      <c r="P1" s="128"/>
      <c r="Q1" s="128"/>
    </row>
    <row r="2" spans="1:17" ht="27" customHeight="1">
      <c r="A2" s="129" t="s">
        <v>10</v>
      </c>
      <c r="B2" s="129"/>
      <c r="C2" s="129"/>
      <c r="D2" s="129"/>
      <c r="E2" s="129"/>
      <c r="F2" s="129"/>
      <c r="G2" s="129"/>
      <c r="H2" s="129"/>
      <c r="I2" s="129"/>
      <c r="J2" s="129"/>
      <c r="K2" s="129"/>
      <c r="L2" s="129"/>
      <c r="M2" s="129"/>
      <c r="N2" s="129"/>
      <c r="O2" s="129"/>
      <c r="P2" s="129"/>
      <c r="Q2" s="129"/>
    </row>
    <row r="3" spans="8:17" s="5" customFormat="1" ht="19.5" customHeight="1">
      <c r="H3" s="7"/>
      <c r="J3" s="7"/>
      <c r="K3" s="8"/>
      <c r="M3" s="9"/>
      <c r="P3" s="8"/>
      <c r="Q3" s="8" t="s">
        <v>15</v>
      </c>
    </row>
    <row r="4" spans="1:17" s="5" customFormat="1" ht="14.25">
      <c r="A4" s="10"/>
      <c r="B4" s="10"/>
      <c r="C4" s="11"/>
      <c r="D4" s="11"/>
      <c r="E4" s="12"/>
      <c r="F4" s="10" t="s">
        <v>8</v>
      </c>
      <c r="G4" s="10" t="s">
        <v>5</v>
      </c>
      <c r="H4" s="13"/>
      <c r="I4" s="10"/>
      <c r="J4" s="10" t="s">
        <v>3</v>
      </c>
      <c r="K4" s="14" t="s">
        <v>17</v>
      </c>
      <c r="L4" s="15"/>
      <c r="M4" s="16"/>
      <c r="N4" s="17" t="s">
        <v>16</v>
      </c>
      <c r="O4" s="12"/>
      <c r="P4" s="10" t="s">
        <v>14</v>
      </c>
      <c r="Q4" s="10"/>
    </row>
    <row r="5" spans="1:17" s="6" customFormat="1" ht="45.75" customHeight="1">
      <c r="A5" s="18" t="s">
        <v>18</v>
      </c>
      <c r="B5" s="18" t="s">
        <v>19</v>
      </c>
      <c r="C5" s="19" t="s">
        <v>23</v>
      </c>
      <c r="D5" s="136" t="s">
        <v>25</v>
      </c>
      <c r="E5" s="137"/>
      <c r="F5" s="18" t="s">
        <v>29</v>
      </c>
      <c r="G5" s="18" t="s">
        <v>31</v>
      </c>
      <c r="H5" s="21" t="s">
        <v>34</v>
      </c>
      <c r="I5" s="21" t="s">
        <v>22</v>
      </c>
      <c r="J5" s="18" t="s">
        <v>37</v>
      </c>
      <c r="K5" s="138" t="s">
        <v>38</v>
      </c>
      <c r="L5" s="139"/>
      <c r="M5" s="139"/>
      <c r="N5" s="24" t="s">
        <v>39</v>
      </c>
      <c r="O5" s="25" t="s">
        <v>0</v>
      </c>
      <c r="P5" s="18" t="s">
        <v>11</v>
      </c>
      <c r="Q5" s="21" t="s">
        <v>41</v>
      </c>
    </row>
    <row r="6" spans="1:18" s="5" customFormat="1" ht="30" customHeight="1">
      <c r="A6" s="26" t="s">
        <v>26</v>
      </c>
      <c r="B6" s="27"/>
      <c r="C6" s="28">
        <v>1</v>
      </c>
      <c r="D6" s="29" t="s">
        <v>42</v>
      </c>
      <c r="E6" s="30" t="s">
        <v>43</v>
      </c>
      <c r="F6" s="31"/>
      <c r="G6" s="31"/>
      <c r="H6" s="32" t="s">
        <v>46</v>
      </c>
      <c r="I6" s="29" t="s">
        <v>42</v>
      </c>
      <c r="J6" s="33"/>
      <c r="K6" s="34"/>
      <c r="L6" s="35" t="s">
        <v>4</v>
      </c>
      <c r="M6" s="36">
        <v>12</v>
      </c>
      <c r="N6" s="37"/>
      <c r="O6" s="38"/>
      <c r="P6" s="39"/>
      <c r="Q6" s="40"/>
      <c r="R6" s="41"/>
    </row>
    <row r="7" spans="1:18" s="5" customFormat="1" ht="30" customHeight="1">
      <c r="A7" s="26" t="s">
        <v>47</v>
      </c>
      <c r="B7" s="42"/>
      <c r="C7" s="43"/>
      <c r="D7" s="44"/>
      <c r="E7" s="45"/>
      <c r="F7" s="46"/>
      <c r="G7" s="46"/>
      <c r="H7" s="47"/>
      <c r="I7" s="29"/>
      <c r="J7" s="33"/>
      <c r="K7" s="48">
        <v>12</v>
      </c>
      <c r="L7" s="35" t="s">
        <v>4</v>
      </c>
      <c r="M7" s="36">
        <v>12</v>
      </c>
      <c r="N7" s="49"/>
      <c r="O7" s="50"/>
      <c r="P7" s="51"/>
      <c r="Q7" s="52"/>
      <c r="R7" s="41"/>
    </row>
    <row r="8" spans="1:18" s="5" customFormat="1" ht="30" customHeight="1">
      <c r="A8" s="26" t="s">
        <v>40</v>
      </c>
      <c r="B8" s="42"/>
      <c r="C8" s="43"/>
      <c r="D8" s="44"/>
      <c r="E8" s="45"/>
      <c r="F8" s="46"/>
      <c r="G8" s="46"/>
      <c r="H8" s="47"/>
      <c r="I8" s="29"/>
      <c r="J8" s="33"/>
      <c r="K8" s="48">
        <v>12</v>
      </c>
      <c r="L8" s="35" t="s">
        <v>4</v>
      </c>
      <c r="M8" s="36">
        <v>12</v>
      </c>
      <c r="N8" s="49"/>
      <c r="O8" s="50"/>
      <c r="P8" s="51"/>
      <c r="Q8" s="52"/>
      <c r="R8" s="41"/>
    </row>
    <row r="9" spans="1:18" s="5" customFormat="1" ht="30" customHeight="1">
      <c r="A9" s="26" t="s">
        <v>48</v>
      </c>
      <c r="B9" s="42"/>
      <c r="C9" s="43"/>
      <c r="D9" s="44"/>
      <c r="E9" s="45"/>
      <c r="F9" s="46"/>
      <c r="G9" s="46"/>
      <c r="H9" s="47"/>
      <c r="I9" s="29"/>
      <c r="J9" s="33"/>
      <c r="K9" s="48">
        <v>12</v>
      </c>
      <c r="L9" s="35" t="s">
        <v>4</v>
      </c>
      <c r="M9" s="36">
        <v>12</v>
      </c>
      <c r="N9" s="49"/>
      <c r="O9" s="50"/>
      <c r="P9" s="51"/>
      <c r="Q9" s="52"/>
      <c r="R9" s="41"/>
    </row>
    <row r="10" spans="1:18" s="5" customFormat="1" ht="30" customHeight="1">
      <c r="A10" s="26" t="s">
        <v>49</v>
      </c>
      <c r="B10" s="42"/>
      <c r="C10" s="43"/>
      <c r="D10" s="44"/>
      <c r="E10" s="45"/>
      <c r="F10" s="46"/>
      <c r="G10" s="46"/>
      <c r="H10" s="47"/>
      <c r="I10" s="29"/>
      <c r="J10" s="33"/>
      <c r="K10" s="48">
        <v>12</v>
      </c>
      <c r="L10" s="35" t="s">
        <v>4</v>
      </c>
      <c r="M10" s="36">
        <v>12</v>
      </c>
      <c r="N10" s="49"/>
      <c r="O10" s="50"/>
      <c r="P10" s="51"/>
      <c r="Q10" s="52"/>
      <c r="R10" s="41"/>
    </row>
    <row r="11" spans="1:18" s="5" customFormat="1" ht="30" customHeight="1">
      <c r="A11" s="26" t="s">
        <v>28</v>
      </c>
      <c r="B11" s="42"/>
      <c r="C11" s="43"/>
      <c r="D11" s="44"/>
      <c r="E11" s="45"/>
      <c r="F11" s="46"/>
      <c r="G11" s="46"/>
      <c r="H11" s="47"/>
      <c r="I11" s="29"/>
      <c r="J11" s="33"/>
      <c r="K11" s="48">
        <v>12</v>
      </c>
      <c r="L11" s="35" t="s">
        <v>4</v>
      </c>
      <c r="M11" s="36">
        <v>12</v>
      </c>
      <c r="N11" s="49"/>
      <c r="O11" s="50"/>
      <c r="P11" s="51"/>
      <c r="Q11" s="52"/>
      <c r="R11" s="41"/>
    </row>
    <row r="12" spans="1:18" s="5" customFormat="1" ht="30" customHeight="1">
      <c r="A12" s="26" t="s">
        <v>50</v>
      </c>
      <c r="B12" s="42"/>
      <c r="C12" s="43"/>
      <c r="D12" s="44"/>
      <c r="E12" s="45"/>
      <c r="F12" s="46"/>
      <c r="G12" s="46"/>
      <c r="H12" s="47"/>
      <c r="I12" s="29"/>
      <c r="J12" s="33"/>
      <c r="K12" s="48">
        <v>12</v>
      </c>
      <c r="L12" s="35" t="s">
        <v>4</v>
      </c>
      <c r="M12" s="36">
        <v>12</v>
      </c>
      <c r="N12" s="49"/>
      <c r="O12" s="50"/>
      <c r="P12" s="51"/>
      <c r="Q12" s="52"/>
      <c r="R12" s="41"/>
    </row>
    <row r="13" spans="1:18" s="5" customFormat="1" ht="30" customHeight="1">
      <c r="A13" s="26" t="s">
        <v>52</v>
      </c>
      <c r="B13" s="42"/>
      <c r="C13" s="43"/>
      <c r="D13" s="44"/>
      <c r="E13" s="45"/>
      <c r="F13" s="46"/>
      <c r="G13" s="46"/>
      <c r="H13" s="47"/>
      <c r="I13" s="29"/>
      <c r="J13" s="33"/>
      <c r="K13" s="48">
        <v>12</v>
      </c>
      <c r="L13" s="35" t="s">
        <v>4</v>
      </c>
      <c r="M13" s="36">
        <v>12</v>
      </c>
      <c r="N13" s="49"/>
      <c r="O13" s="50"/>
      <c r="P13" s="51"/>
      <c r="Q13" s="52"/>
      <c r="R13" s="41"/>
    </row>
    <row r="14" spans="1:18" s="5" customFormat="1" ht="30" customHeight="1">
      <c r="A14" s="26" t="s">
        <v>30</v>
      </c>
      <c r="B14" s="42"/>
      <c r="C14" s="43"/>
      <c r="D14" s="44"/>
      <c r="E14" s="45"/>
      <c r="F14" s="46"/>
      <c r="G14" s="46"/>
      <c r="H14" s="47"/>
      <c r="I14" s="29"/>
      <c r="J14" s="33"/>
      <c r="K14" s="48">
        <v>12</v>
      </c>
      <c r="L14" s="35" t="s">
        <v>4</v>
      </c>
      <c r="M14" s="36">
        <v>12</v>
      </c>
      <c r="N14" s="49"/>
      <c r="O14" s="50"/>
      <c r="P14" s="51"/>
      <c r="Q14" s="52"/>
      <c r="R14" s="41"/>
    </row>
    <row r="15" spans="1:18" s="5" customFormat="1" ht="30" customHeight="1">
      <c r="A15" s="26" t="s">
        <v>53</v>
      </c>
      <c r="B15" s="42"/>
      <c r="C15" s="43"/>
      <c r="D15" s="44"/>
      <c r="E15" s="45"/>
      <c r="F15" s="46"/>
      <c r="G15" s="46"/>
      <c r="H15" s="47"/>
      <c r="I15" s="29"/>
      <c r="J15" s="33"/>
      <c r="K15" s="48">
        <v>12</v>
      </c>
      <c r="L15" s="35" t="s">
        <v>4</v>
      </c>
      <c r="M15" s="36">
        <v>12</v>
      </c>
      <c r="N15" s="49"/>
      <c r="O15" s="50"/>
      <c r="P15" s="51"/>
      <c r="Q15" s="52"/>
      <c r="R15" s="41"/>
    </row>
    <row r="16" spans="1:18" s="5" customFormat="1" ht="30" customHeight="1">
      <c r="A16" s="26" t="s">
        <v>36</v>
      </c>
      <c r="B16" s="42"/>
      <c r="C16" s="43"/>
      <c r="D16" s="44"/>
      <c r="E16" s="45"/>
      <c r="F16" s="46"/>
      <c r="G16" s="46"/>
      <c r="H16" s="47"/>
      <c r="I16" s="29"/>
      <c r="J16" s="33"/>
      <c r="K16" s="48">
        <v>12</v>
      </c>
      <c r="L16" s="35" t="s">
        <v>4</v>
      </c>
      <c r="M16" s="36">
        <v>12</v>
      </c>
      <c r="N16" s="49"/>
      <c r="O16" s="50"/>
      <c r="P16" s="51"/>
      <c r="Q16" s="52"/>
      <c r="R16" s="41"/>
    </row>
    <row r="17" spans="1:18" s="5" customFormat="1" ht="30" customHeight="1">
      <c r="A17" s="26" t="s">
        <v>2</v>
      </c>
      <c r="B17" s="42"/>
      <c r="C17" s="43"/>
      <c r="D17" s="44"/>
      <c r="E17" s="45"/>
      <c r="F17" s="46"/>
      <c r="G17" s="46"/>
      <c r="H17" s="47"/>
      <c r="I17" s="29"/>
      <c r="J17" s="33"/>
      <c r="K17" s="48">
        <v>12</v>
      </c>
      <c r="L17" s="35" t="s">
        <v>4</v>
      </c>
      <c r="M17" s="36">
        <v>12</v>
      </c>
      <c r="N17" s="49"/>
      <c r="O17" s="50"/>
      <c r="P17" s="51"/>
      <c r="Q17" s="52"/>
      <c r="R17" s="41"/>
    </row>
    <row r="18" spans="1:18" s="5" customFormat="1" ht="30" customHeight="1">
      <c r="A18" s="26" t="s">
        <v>54</v>
      </c>
      <c r="B18" s="42"/>
      <c r="C18" s="43"/>
      <c r="D18" s="44"/>
      <c r="E18" s="45"/>
      <c r="F18" s="46"/>
      <c r="G18" s="46"/>
      <c r="H18" s="47"/>
      <c r="I18" s="29"/>
      <c r="J18" s="33"/>
      <c r="K18" s="48">
        <v>12</v>
      </c>
      <c r="L18" s="35" t="s">
        <v>4</v>
      </c>
      <c r="M18" s="36">
        <v>12</v>
      </c>
      <c r="N18" s="49"/>
      <c r="O18" s="50"/>
      <c r="P18" s="51"/>
      <c r="Q18" s="52"/>
      <c r="R18" s="41"/>
    </row>
    <row r="19" spans="1:17" s="5" customFormat="1" ht="30" customHeight="1">
      <c r="A19" s="26" t="s">
        <v>21</v>
      </c>
      <c r="B19" s="42"/>
      <c r="C19" s="43"/>
      <c r="D19" s="44"/>
      <c r="E19" s="45"/>
      <c r="F19" s="46"/>
      <c r="G19" s="46"/>
      <c r="H19" s="47"/>
      <c r="I19" s="29"/>
      <c r="J19" s="33"/>
      <c r="K19" s="48">
        <v>12</v>
      </c>
      <c r="L19" s="35" t="s">
        <v>4</v>
      </c>
      <c r="M19" s="36">
        <v>12</v>
      </c>
      <c r="N19" s="49"/>
      <c r="O19" s="50"/>
      <c r="P19" s="51"/>
      <c r="Q19" s="52"/>
    </row>
    <row r="20" spans="1:17" s="5" customFormat="1" ht="30" customHeight="1">
      <c r="A20" s="26" t="s">
        <v>56</v>
      </c>
      <c r="B20" s="42"/>
      <c r="C20" s="43"/>
      <c r="D20" s="44"/>
      <c r="E20" s="45"/>
      <c r="F20" s="46"/>
      <c r="G20" s="46"/>
      <c r="H20" s="47"/>
      <c r="I20" s="29"/>
      <c r="J20" s="33"/>
      <c r="K20" s="48">
        <v>12</v>
      </c>
      <c r="L20" s="35" t="s">
        <v>4</v>
      </c>
      <c r="M20" s="36">
        <v>12</v>
      </c>
      <c r="N20" s="49"/>
      <c r="O20" s="50"/>
      <c r="P20" s="51"/>
      <c r="Q20" s="52"/>
    </row>
    <row r="21" spans="1:17" s="5" customFormat="1" ht="30" customHeight="1">
      <c r="A21" s="26" t="s">
        <v>57</v>
      </c>
      <c r="B21" s="42"/>
      <c r="C21" s="43"/>
      <c r="D21" s="44"/>
      <c r="E21" s="45"/>
      <c r="F21" s="46"/>
      <c r="G21" s="46"/>
      <c r="H21" s="47"/>
      <c r="I21" s="29"/>
      <c r="J21" s="33"/>
      <c r="K21" s="48">
        <v>12</v>
      </c>
      <c r="L21" s="35" t="s">
        <v>4</v>
      </c>
      <c r="M21" s="36">
        <v>12</v>
      </c>
      <c r="N21" s="49"/>
      <c r="O21" s="50"/>
      <c r="P21" s="51"/>
      <c r="Q21" s="52"/>
    </row>
    <row r="22" spans="1:17" s="5" customFormat="1" ht="30" customHeight="1">
      <c r="A22" s="26" t="s">
        <v>59</v>
      </c>
      <c r="B22" s="42"/>
      <c r="C22" s="43"/>
      <c r="D22" s="44"/>
      <c r="E22" s="45"/>
      <c r="F22" s="46"/>
      <c r="G22" s="46"/>
      <c r="H22" s="47"/>
      <c r="I22" s="29"/>
      <c r="J22" s="33"/>
      <c r="K22" s="48">
        <v>12</v>
      </c>
      <c r="L22" s="35" t="s">
        <v>4</v>
      </c>
      <c r="M22" s="36">
        <v>12</v>
      </c>
      <c r="N22" s="49"/>
      <c r="O22" s="50"/>
      <c r="P22" s="51"/>
      <c r="Q22" s="52"/>
    </row>
    <row r="23" spans="1:17" s="5" customFormat="1" ht="30" customHeight="1">
      <c r="A23" s="26" t="s">
        <v>61</v>
      </c>
      <c r="B23" s="42"/>
      <c r="C23" s="43"/>
      <c r="D23" s="44"/>
      <c r="E23" s="45"/>
      <c r="F23" s="46"/>
      <c r="G23" s="46"/>
      <c r="H23" s="47"/>
      <c r="I23" s="29"/>
      <c r="J23" s="33"/>
      <c r="K23" s="48">
        <v>12</v>
      </c>
      <c r="L23" s="35" t="s">
        <v>4</v>
      </c>
      <c r="M23" s="36">
        <v>12</v>
      </c>
      <c r="N23" s="53"/>
      <c r="O23" s="50"/>
      <c r="P23" s="51"/>
      <c r="Q23" s="54"/>
    </row>
    <row r="24" spans="8:13" s="5" customFormat="1" ht="13.5" customHeight="1">
      <c r="H24" s="7"/>
      <c r="J24" s="7"/>
      <c r="K24" s="8"/>
      <c r="M24" s="9"/>
    </row>
    <row r="25" spans="8:13" s="5" customFormat="1" ht="13.5" customHeight="1">
      <c r="H25" s="7"/>
      <c r="J25" s="7"/>
      <c r="K25" s="8"/>
      <c r="M25" s="9"/>
    </row>
    <row r="26" spans="8:13" s="5" customFormat="1" ht="13.5" customHeight="1">
      <c r="H26" s="7"/>
      <c r="J26" s="7"/>
      <c r="K26" s="8"/>
      <c r="M26" s="9"/>
    </row>
    <row r="27" spans="8:13" s="5" customFormat="1" ht="13.5" customHeight="1">
      <c r="H27" s="7"/>
      <c r="J27" s="7"/>
      <c r="K27" s="8"/>
      <c r="M27" s="9"/>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sheetData>
  <sheetProtection/>
  <mergeCells count="4">
    <mergeCell ref="A1:Q1"/>
    <mergeCell ref="A2:Q2"/>
    <mergeCell ref="D5:E5"/>
    <mergeCell ref="K5:M5"/>
  </mergeCells>
  <printOptions/>
  <pageMargins left="0.3937007874015748" right="0.1968503937007874" top="0.3937007874015748" bottom="0.3937007874015748" header="0.1968503937007874" footer="0.1968503937007874"/>
  <pageSetup cellComments="asDisplayed"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101449</cp:lastModifiedBy>
  <cp:lastPrinted>2020-02-07T01:24:10Z</cp:lastPrinted>
  <dcterms:created xsi:type="dcterms:W3CDTF">2021-02-16T00:27:01Z</dcterms:created>
  <dcterms:modified xsi:type="dcterms:W3CDTF">2023-12-18T06:30:18Z</dcterms:modified>
  <cp:category/>
  <cp:version/>
  <cp:contentType/>
  <cp:contentStatus/>
</cp:coreProperties>
</file>